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6098\Desktop\"/>
    </mc:Choice>
  </mc:AlternateContent>
  <xr:revisionPtr revIDLastSave="0" documentId="13_ncr:1_{6053222F-DFE3-4D86-81E2-4913AC986783}" xr6:coauthVersionLast="45" xr6:coauthVersionMax="45" xr10:uidLastSave="{00000000-0000-0000-0000-000000000000}"/>
  <bookViews>
    <workbookView xWindow="-110" yWindow="-110" windowWidth="22780" windowHeight="14660" tabRatio="745" xr2:uid="{D190CB51-25CE-48E4-B81F-D6A2C5251719}"/>
  </bookViews>
  <sheets>
    <sheet name="Inputs" sheetId="1" r:id="rId1"/>
    <sheet name="Supply Schedule Chart" sheetId="13" r:id="rId2"/>
    <sheet name="Forecast" sheetId="23" r:id="rId3"/>
    <sheet name="Yield" sheetId="24" r:id="rId4"/>
  </sheets>
  <definedNames>
    <definedName name="_AtRisk_FitDataRange_FIT_7FC7C_BE0C" hidden="1">#REF!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MacroMode" hidden="1">0</definedName>
    <definedName name="_AtRisk_SimSetting_MacroRecalculationBehavior" hidden="1">0</definedName>
    <definedName name="_AtRisk_SimSetting_MaxAutoIterations" hidden="1">50000</definedName>
    <definedName name="_AtRisk_SimSetting_MultipleCPUCount" hidden="1">4</definedName>
    <definedName name="_AtRisk_SimSetting_MultipleCPUManualCount" hidden="1">4</definedName>
    <definedName name="_AtRisk_SimSetting_MultipleCPUMode" hidden="1">2</definedName>
    <definedName name="_AtRisk_SimSetting_MultipleCPUModeV8" hidden="1">2</definedName>
    <definedName name="_AtRisk_SimSetting_RandomNumberGenerator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3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8</definedName>
    <definedName name="RiskMinimizeOnStart" hidden="1">FALSE</definedName>
    <definedName name="RiskMonitorConvergence" hidden="1">FALSE</definedName>
    <definedName name="RiskMultipleCPUSupportEnabled" hidden="1">FALSE</definedName>
    <definedName name="RiskNumIterations" hidden="1">50</definedName>
    <definedName name="RiskNumSimulations" hidden="1">5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C15" i="1"/>
  <c r="C14" i="1"/>
  <c r="F16" i="23"/>
  <c r="F17" i="23" s="1"/>
  <c r="F18" i="23" s="1"/>
  <c r="F19" i="23" s="1"/>
  <c r="F20" i="23" s="1"/>
  <c r="F21" i="23" s="1"/>
  <c r="F22" i="23" s="1"/>
  <c r="F23" i="23" s="1"/>
  <c r="F24" i="23" s="1"/>
  <c r="F25" i="23" s="1"/>
  <c r="F26" i="23" s="1"/>
  <c r="F15" i="23"/>
  <c r="F3" i="23" l="1"/>
  <c r="C19" i="1"/>
  <c r="M8" i="24"/>
  <c r="N8" i="24"/>
  <c r="O8" i="24"/>
  <c r="P8" i="24"/>
  <c r="Q8" i="24"/>
  <c r="R8" i="24"/>
  <c r="S8" i="24"/>
  <c r="T8" i="24"/>
  <c r="U8" i="24"/>
  <c r="V8" i="24"/>
  <c r="M9" i="24"/>
  <c r="N9" i="24"/>
  <c r="O9" i="24"/>
  <c r="P9" i="24"/>
  <c r="Q9" i="24"/>
  <c r="R9" i="24"/>
  <c r="S9" i="24"/>
  <c r="T9" i="24"/>
  <c r="U9" i="24"/>
  <c r="V9" i="24"/>
  <c r="M10" i="24"/>
  <c r="N10" i="24"/>
  <c r="O10" i="24"/>
  <c r="P10" i="24"/>
  <c r="Q10" i="24"/>
  <c r="R10" i="24"/>
  <c r="S10" i="24"/>
  <c r="T10" i="24"/>
  <c r="U10" i="24"/>
  <c r="V10" i="24"/>
  <c r="M11" i="24"/>
  <c r="N11" i="24"/>
  <c r="O11" i="24"/>
  <c r="P11" i="24"/>
  <c r="Q11" i="24"/>
  <c r="R11" i="24"/>
  <c r="S11" i="24"/>
  <c r="T11" i="24"/>
  <c r="U11" i="24"/>
  <c r="V11" i="24"/>
  <c r="M12" i="24"/>
  <c r="N12" i="24"/>
  <c r="O12" i="24"/>
  <c r="P12" i="24"/>
  <c r="Q12" i="24"/>
  <c r="R12" i="24"/>
  <c r="S12" i="24"/>
  <c r="T12" i="24"/>
  <c r="U12" i="24"/>
  <c r="V12" i="24"/>
  <c r="M13" i="24"/>
  <c r="N13" i="24"/>
  <c r="O13" i="24"/>
  <c r="P13" i="24"/>
  <c r="Q13" i="24"/>
  <c r="R13" i="24"/>
  <c r="S13" i="24"/>
  <c r="T13" i="24"/>
  <c r="U13" i="24"/>
  <c r="V13" i="24"/>
  <c r="M14" i="24"/>
  <c r="N14" i="24"/>
  <c r="O14" i="24"/>
  <c r="P14" i="24"/>
  <c r="Q14" i="24"/>
  <c r="R14" i="24"/>
  <c r="S14" i="24"/>
  <c r="T14" i="24"/>
  <c r="U14" i="24"/>
  <c r="V14" i="24"/>
  <c r="M15" i="24"/>
  <c r="N15" i="24"/>
  <c r="O15" i="24"/>
  <c r="P15" i="24"/>
  <c r="Q15" i="24"/>
  <c r="R15" i="24"/>
  <c r="S15" i="24"/>
  <c r="T15" i="24"/>
  <c r="U15" i="24"/>
  <c r="V15" i="24"/>
  <c r="M16" i="24"/>
  <c r="N16" i="24"/>
  <c r="O16" i="24"/>
  <c r="P16" i="24"/>
  <c r="Q16" i="24"/>
  <c r="R16" i="24"/>
  <c r="S16" i="24"/>
  <c r="T16" i="24"/>
  <c r="U16" i="24"/>
  <c r="V16" i="24"/>
  <c r="V7" i="24"/>
  <c r="M7" i="24"/>
  <c r="N7" i="24"/>
  <c r="O7" i="24"/>
  <c r="P7" i="24"/>
  <c r="Q7" i="24"/>
  <c r="R7" i="24"/>
  <c r="S7" i="24"/>
  <c r="T7" i="24"/>
  <c r="U7" i="24"/>
  <c r="L7" i="24"/>
  <c r="H10" i="24"/>
  <c r="L9" i="24"/>
  <c r="D9" i="24"/>
  <c r="E9" i="24"/>
  <c r="F9" i="24"/>
  <c r="G9" i="24"/>
  <c r="H9" i="24"/>
  <c r="I9" i="24"/>
  <c r="J9" i="24"/>
  <c r="K9" i="24"/>
  <c r="D10" i="24"/>
  <c r="E10" i="24"/>
  <c r="F10" i="24"/>
  <c r="G10" i="24"/>
  <c r="I10" i="24"/>
  <c r="J10" i="24"/>
  <c r="K10" i="24"/>
  <c r="L10" i="24"/>
  <c r="D11" i="24"/>
  <c r="E11" i="24"/>
  <c r="F11" i="24"/>
  <c r="G11" i="24"/>
  <c r="H11" i="24"/>
  <c r="I11" i="24"/>
  <c r="J11" i="24"/>
  <c r="K11" i="24"/>
  <c r="L11" i="24"/>
  <c r="D12" i="24"/>
  <c r="E12" i="24"/>
  <c r="F12" i="24"/>
  <c r="G12" i="24"/>
  <c r="H12" i="24"/>
  <c r="I12" i="24"/>
  <c r="J12" i="24"/>
  <c r="K12" i="24"/>
  <c r="L12" i="24"/>
  <c r="D13" i="24"/>
  <c r="E13" i="24"/>
  <c r="F13" i="24"/>
  <c r="G13" i="24"/>
  <c r="H13" i="24"/>
  <c r="I13" i="24"/>
  <c r="J13" i="24"/>
  <c r="K13" i="24"/>
  <c r="L13" i="24"/>
  <c r="D14" i="24"/>
  <c r="E14" i="24"/>
  <c r="F14" i="24"/>
  <c r="G14" i="24"/>
  <c r="H14" i="24"/>
  <c r="I14" i="24"/>
  <c r="J14" i="24"/>
  <c r="K14" i="24"/>
  <c r="L14" i="24"/>
  <c r="D15" i="24"/>
  <c r="E15" i="24"/>
  <c r="F15" i="24"/>
  <c r="G15" i="24"/>
  <c r="H15" i="24"/>
  <c r="I15" i="24"/>
  <c r="J15" i="24"/>
  <c r="K15" i="24"/>
  <c r="L15" i="24"/>
  <c r="D16" i="24"/>
  <c r="E16" i="24"/>
  <c r="F16" i="24"/>
  <c r="G16" i="24"/>
  <c r="H16" i="24"/>
  <c r="I16" i="24"/>
  <c r="J16" i="24"/>
  <c r="K16" i="24"/>
  <c r="L16" i="24"/>
  <c r="L8" i="24"/>
  <c r="D8" i="24"/>
  <c r="E8" i="24"/>
  <c r="F8" i="24"/>
  <c r="G8" i="24"/>
  <c r="H8" i="24"/>
  <c r="I8" i="24"/>
  <c r="J8" i="24"/>
  <c r="K8" i="24"/>
  <c r="C8" i="24"/>
  <c r="C16" i="24"/>
  <c r="C9" i="24"/>
  <c r="C10" i="24"/>
  <c r="C11" i="24"/>
  <c r="C12" i="24"/>
  <c r="C13" i="24"/>
  <c r="C14" i="24"/>
  <c r="C15" i="24"/>
  <c r="C7" i="24"/>
  <c r="D7" i="24"/>
  <c r="E7" i="24"/>
  <c r="F7" i="24"/>
  <c r="G7" i="24"/>
  <c r="H7" i="24"/>
  <c r="I7" i="24"/>
  <c r="J7" i="24"/>
  <c r="K7" i="24"/>
  <c r="B16" i="24"/>
  <c r="B15" i="24"/>
  <c r="B14" i="24"/>
  <c r="B13" i="24"/>
  <c r="B12" i="24"/>
  <c r="B11" i="24"/>
  <c r="B10" i="24"/>
  <c r="B9" i="24"/>
  <c r="B8" i="24"/>
  <c r="N3" i="23"/>
  <c r="O3" i="23" s="1"/>
  <c r="O4" i="23" s="1"/>
  <c r="O5" i="23" s="1"/>
  <c r="O6" i="23" s="1"/>
  <c r="O7" i="23" s="1"/>
  <c r="Q2" i="23"/>
  <c r="L2" i="23"/>
  <c r="E2" i="23" s="1"/>
  <c r="T2" i="23"/>
  <c r="T3" i="23" s="1"/>
  <c r="T4" i="23" s="1"/>
  <c r="T5" i="23" s="1"/>
  <c r="T6" i="23" s="1"/>
  <c r="T7" i="23" s="1"/>
  <c r="T8" i="23" s="1"/>
  <c r="T9" i="23" s="1"/>
  <c r="T10" i="23" s="1"/>
  <c r="T11" i="23" s="1"/>
  <c r="T12" i="23" s="1"/>
  <c r="T13" i="23" s="1"/>
  <c r="T14" i="23" s="1"/>
  <c r="R3" i="23"/>
  <c r="R4" i="23" s="1"/>
  <c r="R5" i="23" s="1"/>
  <c r="R6" i="23" s="1"/>
  <c r="R7" i="23" s="1"/>
  <c r="R8" i="23" s="1"/>
  <c r="R9" i="23" s="1"/>
  <c r="R10" i="23" s="1"/>
  <c r="R11" i="23" s="1"/>
  <c r="R12" i="23" s="1"/>
  <c r="R13" i="23" s="1"/>
  <c r="R14" i="23" s="1"/>
  <c r="S15" i="23" s="1"/>
  <c r="S16" i="23" s="1"/>
  <c r="S17" i="23" s="1"/>
  <c r="S18" i="23" s="1"/>
  <c r="S19" i="23" s="1"/>
  <c r="S20" i="23" s="1"/>
  <c r="S21" i="23" s="1"/>
  <c r="S22" i="23" s="1"/>
  <c r="S23" i="23" s="1"/>
  <c r="S24" i="23" s="1"/>
  <c r="S25" i="23" s="1"/>
  <c r="S26" i="23" s="1"/>
  <c r="V4" i="23"/>
  <c r="V5" i="23"/>
  <c r="V6" i="23"/>
  <c r="X18" i="23" s="1"/>
  <c r="V7" i="23"/>
  <c r="X19" i="23" s="1"/>
  <c r="V8" i="23"/>
  <c r="X20" i="23" s="1"/>
  <c r="V9" i="23"/>
  <c r="X21" i="23" s="1"/>
  <c r="V10" i="23"/>
  <c r="V11" i="23"/>
  <c r="X23" i="23" s="1"/>
  <c r="V12" i="23"/>
  <c r="V13" i="23"/>
  <c r="V14" i="23"/>
  <c r="V3" i="23"/>
  <c r="W3" i="23" s="1"/>
  <c r="U38" i="23" l="1"/>
  <c r="T15" i="23"/>
  <c r="T16" i="23" s="1"/>
  <c r="T17" i="23" s="1"/>
  <c r="T18" i="23" s="1"/>
  <c r="T19" i="23" s="1"/>
  <c r="T20" i="23" s="1"/>
  <c r="T21" i="23" s="1"/>
  <c r="T22" i="23" s="1"/>
  <c r="T23" i="23" s="1"/>
  <c r="T24" i="23" s="1"/>
  <c r="T25" i="23" s="1"/>
  <c r="T26" i="23" s="1"/>
  <c r="F4" i="23"/>
  <c r="F5" i="23" s="1"/>
  <c r="F6" i="23" s="1"/>
  <c r="F7" i="23" s="1"/>
  <c r="F8" i="23" s="1"/>
  <c r="F9" i="23" s="1"/>
  <c r="F10" i="23" s="1"/>
  <c r="F11" i="23" s="1"/>
  <c r="F12" i="23" s="1"/>
  <c r="F13" i="23" s="1"/>
  <c r="F14" i="23" s="1"/>
  <c r="G3" i="23"/>
  <c r="G9" i="23"/>
  <c r="G8" i="23"/>
  <c r="G5" i="23"/>
  <c r="G4" i="23"/>
  <c r="O8" i="23"/>
  <c r="O9" i="23" s="1"/>
  <c r="O10" i="23" s="1"/>
  <c r="O11" i="23" s="1"/>
  <c r="O12" i="23" s="1"/>
  <c r="O13" i="23" s="1"/>
  <c r="O14" i="23" s="1"/>
  <c r="Q3" i="23"/>
  <c r="Q4" i="23" s="1"/>
  <c r="Q5" i="23" s="1"/>
  <c r="Q6" i="23" s="1"/>
  <c r="Q7" i="23" s="1"/>
  <c r="Q8" i="23" s="1"/>
  <c r="Q9" i="23" s="1"/>
  <c r="Q10" i="23" s="1"/>
  <c r="Q11" i="23" s="1"/>
  <c r="Q12" i="23" s="1"/>
  <c r="Q13" i="23" s="1"/>
  <c r="Q14" i="23" s="1"/>
  <c r="Q15" i="23" s="1"/>
  <c r="Q16" i="23" s="1"/>
  <c r="Q17" i="23" s="1"/>
  <c r="Q18" i="23" s="1"/>
  <c r="Q19" i="23" s="1"/>
  <c r="Q20" i="23" s="1"/>
  <c r="Q21" i="23" s="1"/>
  <c r="Q22" i="23" s="1"/>
  <c r="Q23" i="23" s="1"/>
  <c r="Q24" i="23" s="1"/>
  <c r="Q25" i="23" s="1"/>
  <c r="Q26" i="23" s="1"/>
  <c r="Q27" i="23" s="1"/>
  <c r="Q28" i="23" s="1"/>
  <c r="Q29" i="23" s="1"/>
  <c r="Q30" i="23" s="1"/>
  <c r="Q31" i="23" s="1"/>
  <c r="Q32" i="23" s="1"/>
  <c r="Q33" i="23" s="1"/>
  <c r="Q34" i="23" s="1"/>
  <c r="Q35" i="23" s="1"/>
  <c r="Q36" i="23" s="1"/>
  <c r="Q37" i="23" s="1"/>
  <c r="Q38" i="23" s="1"/>
  <c r="R15" i="23"/>
  <c r="R16" i="23" s="1"/>
  <c r="R17" i="23" s="1"/>
  <c r="R18" i="23" s="1"/>
  <c r="R19" i="23" s="1"/>
  <c r="R20" i="23" s="1"/>
  <c r="R21" i="23" s="1"/>
  <c r="R22" i="23" s="1"/>
  <c r="R23" i="23" s="1"/>
  <c r="R24" i="23" s="1"/>
  <c r="R25" i="23" s="1"/>
  <c r="R26" i="23" s="1"/>
  <c r="U37" i="23"/>
  <c r="U29" i="23"/>
  <c r="U27" i="23"/>
  <c r="T27" i="23" s="1"/>
  <c r="U31" i="23"/>
  <c r="U30" i="23"/>
  <c r="U36" i="23"/>
  <c r="U28" i="23"/>
  <c r="U35" i="23"/>
  <c r="U34" i="23"/>
  <c r="U33" i="23"/>
  <c r="U32" i="23"/>
  <c r="W4" i="23"/>
  <c r="W5" i="23" s="1"/>
  <c r="W6" i="23" s="1"/>
  <c r="W7" i="23" s="1"/>
  <c r="W8" i="23" s="1"/>
  <c r="W9" i="23" s="1"/>
  <c r="W10" i="23" s="1"/>
  <c r="W11" i="23" s="1"/>
  <c r="W12" i="23" s="1"/>
  <c r="W13" i="23" s="1"/>
  <c r="W14" i="23" s="1"/>
  <c r="X22" i="23"/>
  <c r="X26" i="23"/>
  <c r="X25" i="23"/>
  <c r="X17" i="23"/>
  <c r="X15" i="23"/>
  <c r="X24" i="23"/>
  <c r="X16" i="23"/>
  <c r="G14" i="23" l="1"/>
  <c r="G11" i="23"/>
  <c r="G13" i="23"/>
  <c r="G6" i="23"/>
  <c r="G21" i="23"/>
  <c r="G16" i="23"/>
  <c r="G19" i="23"/>
  <c r="G24" i="23"/>
  <c r="G26" i="23"/>
  <c r="F27" i="23"/>
  <c r="G12" i="23"/>
  <c r="G7" i="23"/>
  <c r="G25" i="23"/>
  <c r="G22" i="23"/>
  <c r="G20" i="23"/>
  <c r="G15" i="23"/>
  <c r="G10" i="23"/>
  <c r="G17" i="23"/>
  <c r="G23" i="23"/>
  <c r="G18" i="23"/>
  <c r="T28" i="23"/>
  <c r="T29" i="23" s="1"/>
  <c r="T30" i="23" s="1"/>
  <c r="T31" i="23" s="1"/>
  <c r="T32" i="23" s="1"/>
  <c r="T33" i="23" s="1"/>
  <c r="T34" i="23" s="1"/>
  <c r="T35" i="23" s="1"/>
  <c r="T36" i="23" s="1"/>
  <c r="T37" i="23" s="1"/>
  <c r="T38" i="23" s="1"/>
  <c r="W15" i="23"/>
  <c r="W16" i="23" s="1"/>
  <c r="W17" i="23" s="1"/>
  <c r="W18" i="23" s="1"/>
  <c r="W19" i="23" s="1"/>
  <c r="W20" i="23" s="1"/>
  <c r="W21" i="23" s="1"/>
  <c r="W22" i="23" s="1"/>
  <c r="W23" i="23" s="1"/>
  <c r="W24" i="23" s="1"/>
  <c r="W25" i="23" s="1"/>
  <c r="W26" i="23" s="1"/>
  <c r="G27" i="23" l="1"/>
  <c r="F28" i="23"/>
  <c r="L3" i="23"/>
  <c r="L4" i="23" s="1"/>
  <c r="L5" i="23" s="1"/>
  <c r="L6" i="23" s="1"/>
  <c r="L7" i="23" s="1"/>
  <c r="L8" i="23" s="1"/>
  <c r="F29" i="23" l="1"/>
  <c r="G28" i="23"/>
  <c r="E3" i="23"/>
  <c r="D2" i="23"/>
  <c r="M9" i="23"/>
  <c r="L9" i="23" s="1"/>
  <c r="H3" i="23" l="1"/>
  <c r="I3" i="23" s="1"/>
  <c r="J3" i="23" s="1"/>
  <c r="K3" i="23" s="1"/>
  <c r="F30" i="23"/>
  <c r="G29" i="23"/>
  <c r="D3" i="23"/>
  <c r="E4" i="23"/>
  <c r="F31" i="23" l="1"/>
  <c r="G30" i="23"/>
  <c r="E5" i="23"/>
  <c r="H4" i="23"/>
  <c r="I4" i="23" s="1"/>
  <c r="J4" i="23" s="1"/>
  <c r="K4" i="23" s="1"/>
  <c r="D4" i="23"/>
  <c r="D5" i="23"/>
  <c r="F32" i="23" l="1"/>
  <c r="G31" i="23"/>
  <c r="E6" i="23"/>
  <c r="D6" i="23" s="1"/>
  <c r="H5" i="23"/>
  <c r="I5" i="23" s="1"/>
  <c r="J5" i="23" s="1"/>
  <c r="K5" i="23" s="1"/>
  <c r="F33" i="23" l="1"/>
  <c r="G32" i="23"/>
  <c r="E7" i="23"/>
  <c r="D7" i="23" s="1"/>
  <c r="H6" i="23"/>
  <c r="I6" i="23" s="1"/>
  <c r="J6" i="23" s="1"/>
  <c r="K6" i="23" s="1"/>
  <c r="F34" i="23" l="1"/>
  <c r="G33" i="23"/>
  <c r="E8" i="23"/>
  <c r="D8" i="23" s="1"/>
  <c r="H7" i="23"/>
  <c r="I7" i="23" s="1"/>
  <c r="J7" i="23" s="1"/>
  <c r="K7" i="23" s="1"/>
  <c r="F35" i="23" l="1"/>
  <c r="G34" i="23"/>
  <c r="E9" i="23"/>
  <c r="D9" i="23" s="1"/>
  <c r="H8" i="23"/>
  <c r="I8" i="23" s="1"/>
  <c r="J8" i="23" s="1"/>
  <c r="K8" i="23" s="1"/>
  <c r="F36" i="23" l="1"/>
  <c r="G35" i="23"/>
  <c r="E10" i="23"/>
  <c r="D10" i="23" s="1"/>
  <c r="H9" i="23"/>
  <c r="I9" i="23" s="1"/>
  <c r="J9" i="23" s="1"/>
  <c r="K9" i="23" s="1"/>
  <c r="F37" i="23" l="1"/>
  <c r="G36" i="23"/>
  <c r="E11" i="23"/>
  <c r="D11" i="23" s="1"/>
  <c r="H10" i="23"/>
  <c r="I10" i="23" s="1"/>
  <c r="J10" i="23" s="1"/>
  <c r="K10" i="23" s="1"/>
  <c r="F38" i="23" l="1"/>
  <c r="G38" i="23" s="1"/>
  <c r="G37" i="23"/>
  <c r="E12" i="23"/>
  <c r="D12" i="23" s="1"/>
  <c r="H11" i="23"/>
  <c r="I11" i="23" s="1"/>
  <c r="J11" i="23" s="1"/>
  <c r="K11" i="23" s="1"/>
  <c r="E13" i="23" l="1"/>
  <c r="D13" i="23" s="1"/>
  <c r="H12" i="23"/>
  <c r="I12" i="23" s="1"/>
  <c r="J12" i="23" s="1"/>
  <c r="K12" i="23" s="1"/>
  <c r="E14" i="23" l="1"/>
  <c r="D14" i="23" s="1"/>
  <c r="H13" i="23"/>
  <c r="I13" i="23" s="1"/>
  <c r="J13" i="23" s="1"/>
  <c r="K13" i="23" s="1"/>
  <c r="E15" i="23" l="1"/>
  <c r="H14" i="23"/>
  <c r="I14" i="23" s="1"/>
  <c r="J14" i="23" s="1"/>
  <c r="K14" i="23" s="1"/>
  <c r="D15" i="23" l="1"/>
  <c r="H15" i="23"/>
  <c r="I15" i="23" s="1"/>
  <c r="J15" i="23" s="1"/>
  <c r="K15" i="23" s="1"/>
  <c r="E16" i="23"/>
  <c r="E17" i="23" l="1"/>
  <c r="H16" i="23"/>
  <c r="I16" i="23" s="1"/>
  <c r="J16" i="23" s="1"/>
  <c r="K16" i="23" s="1"/>
  <c r="D16" i="23"/>
  <c r="H17" i="23" l="1"/>
  <c r="I17" i="23" s="1"/>
  <c r="J17" i="23" s="1"/>
  <c r="K17" i="23" s="1"/>
  <c r="E18" i="23"/>
  <c r="D18" i="23" s="1"/>
  <c r="D17" i="23"/>
  <c r="E19" i="23" l="1"/>
  <c r="D19" i="23" s="1"/>
  <c r="H18" i="23"/>
  <c r="I18" i="23" s="1"/>
  <c r="J18" i="23" s="1"/>
  <c r="K18" i="23" s="1"/>
  <c r="E20" i="23" l="1"/>
  <c r="D20" i="23" s="1"/>
  <c r="H19" i="23"/>
  <c r="I19" i="23" s="1"/>
  <c r="J19" i="23" s="1"/>
  <c r="K19" i="23" s="1"/>
  <c r="E21" i="23" l="1"/>
  <c r="D21" i="23" s="1"/>
  <c r="H20" i="23"/>
  <c r="I20" i="23" s="1"/>
  <c r="J20" i="23" s="1"/>
  <c r="K20" i="23" s="1"/>
  <c r="H21" i="23" l="1"/>
  <c r="I21" i="23" s="1"/>
  <c r="J21" i="23" s="1"/>
  <c r="K21" i="23" s="1"/>
  <c r="E22" i="23"/>
  <c r="D22" i="23" s="1"/>
  <c r="H22" i="23" l="1"/>
  <c r="I22" i="23" s="1"/>
  <c r="J22" i="23" s="1"/>
  <c r="K22" i="23" s="1"/>
  <c r="E23" i="23"/>
  <c r="E24" i="23" l="1"/>
  <c r="H23" i="23"/>
  <c r="I23" i="23" s="1"/>
  <c r="J23" i="23" s="1"/>
  <c r="K23" i="23" s="1"/>
  <c r="D23" i="23"/>
  <c r="H24" i="23" l="1"/>
  <c r="I24" i="23" s="1"/>
  <c r="J24" i="23" s="1"/>
  <c r="K24" i="23" s="1"/>
  <c r="E25" i="23"/>
  <c r="D25" i="23" s="1"/>
  <c r="D24" i="23"/>
  <c r="E26" i="23" l="1"/>
  <c r="H25" i="23"/>
  <c r="I25" i="23" s="1"/>
  <c r="J25" i="23" s="1"/>
  <c r="K25" i="23" s="1"/>
  <c r="H26" i="23" l="1"/>
  <c r="I26" i="23" s="1"/>
  <c r="J26" i="23" s="1"/>
  <c r="K26" i="23" s="1"/>
  <c r="E27" i="23"/>
  <c r="D26" i="23"/>
  <c r="D27" i="23" l="1"/>
  <c r="H27" i="23"/>
  <c r="I27" i="23" s="1"/>
  <c r="J27" i="23" s="1"/>
  <c r="K27" i="23" s="1"/>
  <c r="E28" i="23"/>
  <c r="H28" i="23" l="1"/>
  <c r="I28" i="23" s="1"/>
  <c r="J28" i="23" s="1"/>
  <c r="K28" i="23" s="1"/>
  <c r="E29" i="23"/>
  <c r="D28" i="23"/>
  <c r="H29" i="23" l="1"/>
  <c r="I29" i="23" s="1"/>
  <c r="J29" i="23" s="1"/>
  <c r="K29" i="23" s="1"/>
  <c r="E30" i="23"/>
  <c r="D29" i="23"/>
  <c r="H30" i="23" l="1"/>
  <c r="I30" i="23" s="1"/>
  <c r="J30" i="23" s="1"/>
  <c r="K30" i="23" s="1"/>
  <c r="E31" i="23"/>
  <c r="D30" i="23"/>
  <c r="H31" i="23" l="1"/>
  <c r="I31" i="23" s="1"/>
  <c r="J31" i="23" s="1"/>
  <c r="K31" i="23" s="1"/>
  <c r="E32" i="23"/>
  <c r="D31" i="23"/>
  <c r="H32" i="23" l="1"/>
  <c r="I32" i="23" s="1"/>
  <c r="J32" i="23" s="1"/>
  <c r="K32" i="23" s="1"/>
  <c r="D32" i="23"/>
  <c r="E33" i="23"/>
  <c r="H33" i="23" l="1"/>
  <c r="I33" i="23" s="1"/>
  <c r="J33" i="23" s="1"/>
  <c r="K33" i="23" s="1"/>
  <c r="D33" i="23"/>
  <c r="E34" i="23"/>
  <c r="H34" i="23" l="1"/>
  <c r="I34" i="23" s="1"/>
  <c r="J34" i="23" s="1"/>
  <c r="K34" i="23" s="1"/>
  <c r="D34" i="23"/>
  <c r="E35" i="23"/>
  <c r="H35" i="23" l="1"/>
  <c r="I35" i="23" s="1"/>
  <c r="J35" i="23" s="1"/>
  <c r="K35" i="23" s="1"/>
  <c r="D35" i="23"/>
  <c r="E36" i="23"/>
  <c r="H36" i="23" l="1"/>
  <c r="I36" i="23" s="1"/>
  <c r="J36" i="23" s="1"/>
  <c r="K36" i="23" s="1"/>
  <c r="E37" i="23"/>
  <c r="D36" i="23"/>
  <c r="H37" i="23" l="1"/>
  <c r="I37" i="23" s="1"/>
  <c r="J37" i="23" s="1"/>
  <c r="K37" i="23" s="1"/>
  <c r="E38" i="23"/>
  <c r="D37" i="23"/>
  <c r="D38" i="23" l="1"/>
  <c r="H38" i="23"/>
  <c r="I38" i="23" s="1"/>
  <c r="J38" i="23" s="1"/>
  <c r="K38" i="23" s="1"/>
</calcChain>
</file>

<file path=xl/sharedStrings.xml><?xml version="1.0" encoding="utf-8"?>
<sst xmlns="http://schemas.openxmlformats.org/spreadsheetml/2006/main" count="64" uniqueCount="62">
  <si>
    <t>Model</t>
  </si>
  <si>
    <t>Built</t>
  </si>
  <si>
    <t>By:</t>
  </si>
  <si>
    <t>Category</t>
  </si>
  <si>
    <t>Description</t>
  </si>
  <si>
    <t>Inputs</t>
  </si>
  <si>
    <t>Notes</t>
  </si>
  <si>
    <t>Date</t>
  </si>
  <si>
    <t>Year #</t>
  </si>
  <si>
    <t>Month #</t>
  </si>
  <si>
    <t>Alpha</t>
  </si>
  <si>
    <t>Beta</t>
  </si>
  <si>
    <t>Gamma</t>
  </si>
  <si>
    <t>Community Pool</t>
  </si>
  <si>
    <t>All released</t>
  </si>
  <si>
    <t>Total Supply</t>
  </si>
  <si>
    <t>Liquidity Mining Rewards</t>
  </si>
  <si>
    <t>CVP Price</t>
  </si>
  <si>
    <t>TVL</t>
  </si>
  <si>
    <t>Monthly Yield</t>
  </si>
  <si>
    <t>LM Rewards Unlocking</t>
  </si>
  <si>
    <t>Beta &amp; Gamma Locked CVP</t>
  </si>
  <si>
    <t>Beta &amp; Gamma Unlocking</t>
  </si>
  <si>
    <t>DAO Grants Locked CVP</t>
  </si>
  <si>
    <t>Cumulative Locked LM CVP Rewards</t>
  </si>
  <si>
    <t>DAO Grants Unlocking</t>
  </si>
  <si>
    <t>CVP in Community Treasury</t>
  </si>
  <si>
    <t>Total CVP Supply</t>
  </si>
  <si>
    <t>Circulating CVP Supply / Liquidity Pool</t>
  </si>
  <si>
    <t>CVP Locked From Governance</t>
  </si>
  <si>
    <t>CVP Unlocking From Governance</t>
  </si>
  <si>
    <t>Governance Rewards</t>
  </si>
  <si>
    <t>Cumulative Locked Gov Rewards</t>
  </si>
  <si>
    <t>Governance Rewards Unlocking</t>
  </si>
  <si>
    <t>Starting Circulating CVP Supply</t>
  </si>
  <si>
    <t>From Alpha &amp; Community Pool Rewards</t>
  </si>
  <si>
    <t>DAO Grants (CVP)</t>
  </si>
  <si>
    <t>1 yr lock then 12 month linear vest</t>
  </si>
  <si>
    <t>Available CVP Supply (Post-Grants)</t>
  </si>
  <si>
    <t>Available CVP Supply (Pre-Grants)</t>
  </si>
  <si>
    <t>Year 1 - Monthly LM Rewards</t>
  </si>
  <si>
    <t>Released</t>
  </si>
  <si>
    <t>CVP used to vote locked for 6 months</t>
  </si>
  <si>
    <t>Governance Reward For Voting (CVP)</t>
  </si>
  <si>
    <t>% of Starting Circ Supply That Votes</t>
  </si>
  <si>
    <t>CVP Pool Weight</t>
  </si>
  <si>
    <t>TVL in PowerIndex</t>
  </si>
  <si>
    <t>Starting TVL</t>
  </si>
  <si>
    <t>Value of CVP in PowerIndex</t>
  </si>
  <si>
    <t>CVP Price Based on Circ. Supply</t>
  </si>
  <si>
    <t>As PowerIndex TVL rises, it pulls up the price of CVP based on this weight &amp; circulating supply</t>
  </si>
  <si>
    <t>$ Value of Liquidity Mining Rewards</t>
  </si>
  <si>
    <t>Annualized Yield</t>
  </si>
  <si>
    <t>Yield scales with TVL growth</t>
  </si>
  <si>
    <t>Current Supply Distribution</t>
  </si>
  <si>
    <t>Forward Looking Supply Distribution</t>
  </si>
  <si>
    <t>PowerIndex</t>
  </si>
  <si>
    <t>2 yr lock then 12 month linear vest</t>
  </si>
  <si>
    <t>6 month lock then 6 month linear vest</t>
  </si>
  <si>
    <t>Monthly TVL Growth (Yr 1)</t>
  </si>
  <si>
    <t>Monthly TVL Growth (Yr 2)</t>
  </si>
  <si>
    <t>1 yr lock from the date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</si>
</sst>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22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4" fontId="0" fillId="0" borderId="11" xfId="1" applyNumberFormat="1" applyFont="1" applyBorder="1"/>
    <xf numFmtId="165" fontId="0" fillId="0" borderId="11" xfId="0" applyNumberFormat="1" applyBorder="1"/>
    <xf numFmtId="164" fontId="0" fillId="0" borderId="15" xfId="1" applyNumberFormat="1" applyFont="1" applyBorder="1"/>
    <xf numFmtId="165" fontId="0" fillId="0" borderId="15" xfId="0" applyNumberFormat="1" applyBorder="1"/>
    <xf numFmtId="0" fontId="1" fillId="2" borderId="1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Border="1"/>
    <xf numFmtId="0" fontId="0" fillId="4" borderId="11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3" fontId="5" fillId="4" borderId="11" xfId="0" applyNumberFormat="1" applyFont="1" applyFill="1" applyBorder="1" applyAlignment="1"/>
    <xf numFmtId="0" fontId="1" fillId="2" borderId="19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Border="1"/>
    <xf numFmtId="0" fontId="8" fillId="0" borderId="0" xfId="0" applyFont="1" applyBorder="1"/>
    <xf numFmtId="0" fontId="3" fillId="2" borderId="0" xfId="0" applyFont="1" applyFill="1" applyBorder="1" applyAlignment="1">
      <alignment horizontal="center"/>
    </xf>
    <xf numFmtId="6" fontId="3" fillId="2" borderId="0" xfId="0" applyNumberFormat="1" applyFont="1" applyFill="1" applyBorder="1" applyAlignment="1">
      <alignment horizontal="center"/>
    </xf>
    <xf numFmtId="6" fontId="3" fillId="2" borderId="14" xfId="0" applyNumberFormat="1" applyFont="1" applyFill="1" applyBorder="1" applyAlignment="1">
      <alignment horizontal="center"/>
    </xf>
    <xf numFmtId="6" fontId="3" fillId="2" borderId="0" xfId="0" applyNumberFormat="1" applyFont="1" applyFill="1" applyBorder="1"/>
    <xf numFmtId="9" fontId="0" fillId="0" borderId="0" xfId="2" applyFont="1" applyBorder="1"/>
    <xf numFmtId="9" fontId="0" fillId="0" borderId="14" xfId="2" applyFont="1" applyBorder="1"/>
    <xf numFmtId="6" fontId="3" fillId="2" borderId="20" xfId="0" applyNumberFormat="1" applyFont="1" applyFill="1" applyBorder="1"/>
    <xf numFmtId="9" fontId="0" fillId="0" borderId="20" xfId="2" applyFont="1" applyBorder="1"/>
    <xf numFmtId="9" fontId="0" fillId="0" borderId="16" xfId="2" applyFont="1" applyBorder="1"/>
    <xf numFmtId="0" fontId="0" fillId="2" borderId="9" xfId="0" applyFill="1" applyBorder="1"/>
    <xf numFmtId="0" fontId="0" fillId="2" borderId="7" xfId="0" applyFill="1" applyBorder="1"/>
    <xf numFmtId="0" fontId="0" fillId="2" borderId="10" xfId="0" applyFill="1" applyBorder="1"/>
    <xf numFmtId="0" fontId="8" fillId="4" borderId="14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3" fontId="0" fillId="4" borderId="14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8" fillId="0" borderId="14" xfId="0" applyFont="1" applyBorder="1"/>
    <xf numFmtId="3" fontId="0" fillId="0" borderId="14" xfId="0" applyNumberFormat="1" applyBorder="1"/>
    <xf numFmtId="3" fontId="0" fillId="0" borderId="21" xfId="0" applyNumberFormat="1" applyBorder="1"/>
    <xf numFmtId="14" fontId="8" fillId="0" borderId="17" xfId="0" applyNumberFormat="1" applyFont="1" applyFill="1" applyBorder="1" applyAlignment="1">
      <alignment horizontal="center" vertical="center" wrapText="1"/>
    </xf>
    <xf numFmtId="14" fontId="0" fillId="0" borderId="17" xfId="0" applyNumberFormat="1" applyBorder="1"/>
    <xf numFmtId="14" fontId="0" fillId="0" borderId="22" xfId="0" applyNumberFormat="1" applyBorder="1"/>
    <xf numFmtId="14" fontId="0" fillId="0" borderId="18" xfId="0" applyNumberFormat="1" applyBorder="1"/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23" xfId="0" applyBorder="1"/>
    <xf numFmtId="0" fontId="0" fillId="0" borderId="15" xfId="0" applyBorder="1"/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right" vertical="center" wrapText="1"/>
    </xf>
    <xf numFmtId="3" fontId="0" fillId="0" borderId="11" xfId="0" applyNumberFormat="1" applyBorder="1"/>
    <xf numFmtId="3" fontId="0" fillId="0" borderId="23" xfId="0" applyNumberFormat="1" applyBorder="1"/>
    <xf numFmtId="3" fontId="0" fillId="0" borderId="15" xfId="0" applyNumberFormat="1" applyBorder="1"/>
    <xf numFmtId="3" fontId="0" fillId="0" borderId="11" xfId="0" applyNumberFormat="1" applyFill="1" applyBorder="1"/>
    <xf numFmtId="164" fontId="0" fillId="0" borderId="11" xfId="0" applyNumberFormat="1" applyBorder="1"/>
    <xf numFmtId="166" fontId="0" fillId="0" borderId="11" xfId="0" applyNumberFormat="1" applyBorder="1"/>
    <xf numFmtId="165" fontId="8" fillId="0" borderId="11" xfId="0" applyNumberFormat="1" applyFont="1" applyFill="1" applyBorder="1" applyAlignment="1">
      <alignment horizontal="right" vertical="center" wrapText="1"/>
    </xf>
    <xf numFmtId="166" fontId="0" fillId="0" borderId="15" xfId="0" applyNumberFormat="1" applyBorder="1"/>
    <xf numFmtId="165" fontId="0" fillId="0" borderId="23" xfId="0" applyNumberFormat="1" applyBorder="1"/>
    <xf numFmtId="166" fontId="0" fillId="0" borderId="23" xfId="0" applyNumberFormat="1" applyBorder="1"/>
    <xf numFmtId="0" fontId="8" fillId="0" borderId="11" xfId="0" applyFont="1" applyBorder="1"/>
    <xf numFmtId="10" fontId="0" fillId="0" borderId="11" xfId="2" applyNumberFormat="1" applyFont="1" applyBorder="1"/>
    <xf numFmtId="10" fontId="0" fillId="0" borderId="23" xfId="2" applyNumberFormat="1" applyFont="1" applyBorder="1"/>
    <xf numFmtId="10" fontId="0" fillId="0" borderId="15" xfId="2" applyNumberFormat="1" applyFont="1" applyBorder="1"/>
    <xf numFmtId="0" fontId="0" fillId="0" borderId="14" xfId="0" applyFill="1" applyBorder="1"/>
    <xf numFmtId="0" fontId="0" fillId="4" borderId="2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" xfId="0" applyFill="1" applyBorder="1"/>
    <xf numFmtId="0" fontId="0" fillId="0" borderId="13" xfId="0" applyFill="1" applyBorder="1"/>
    <xf numFmtId="164" fontId="5" fillId="4" borderId="28" xfId="1" applyNumberFormat="1" applyFont="1" applyFill="1" applyBorder="1" applyAlignment="1">
      <alignment horizontal="center"/>
    </xf>
    <xf numFmtId="164" fontId="5" fillId="4" borderId="11" xfId="1" applyNumberFormat="1" applyFont="1" applyFill="1" applyBorder="1" applyAlignment="1">
      <alignment horizontal="center"/>
    </xf>
    <xf numFmtId="3" fontId="5" fillId="4" borderId="23" xfId="0" applyNumberFormat="1" applyFont="1" applyFill="1" applyBorder="1" applyAlignment="1"/>
    <xf numFmtId="3" fontId="5" fillId="0" borderId="11" xfId="0" applyNumberFormat="1" applyFont="1" applyFill="1" applyBorder="1"/>
    <xf numFmtId="164" fontId="5" fillId="0" borderId="11" xfId="0" applyNumberFormat="1" applyFont="1" applyFill="1" applyBorder="1" applyAlignment="1"/>
    <xf numFmtId="164" fontId="5" fillId="0" borderId="11" xfId="0" applyNumberFormat="1" applyFont="1" applyFill="1" applyBorder="1"/>
    <xf numFmtId="9" fontId="5" fillId="0" borderId="11" xfId="0" applyNumberFormat="1" applyFont="1" applyFill="1" applyBorder="1"/>
    <xf numFmtId="3" fontId="5" fillId="0" borderId="15" xfId="0" applyNumberFormat="1" applyFont="1" applyFill="1" applyBorder="1"/>
    <xf numFmtId="6" fontId="5" fillId="0" borderId="11" xfId="0" applyNumberFormat="1" applyFont="1" applyFill="1" applyBorder="1" applyAlignment="1">
      <alignment vertical="center"/>
    </xf>
    <xf numFmtId="9" fontId="5" fillId="0" borderId="15" xfId="0" applyNumberFormat="1" applyFont="1" applyFill="1" applyBorder="1" applyAlignment="1">
      <alignment vertical="center"/>
    </xf>
    <xf numFmtId="0" fontId="0" fillId="4" borderId="9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4" xfId="0" applyBorder="1" applyAlignment="1">
      <alignment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164" fontId="0" fillId="0" borderId="23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165" fontId="0" fillId="0" borderId="11" xfId="0" applyNumberFormat="1" applyFill="1" applyBorder="1"/>
    <xf numFmtId="165" fontId="0" fillId="0" borderId="15" xfId="0" applyNumberFormat="1" applyFill="1" applyBorder="1"/>
    <xf numFmtId="0" fontId="0" fillId="5" borderId="0" xfId="0" applyFill="1"/>
    <xf numFmtId="9" fontId="0" fillId="5" borderId="0" xfId="2" applyFont="1" applyFill="1"/>
    <xf numFmtId="6" fontId="0" fillId="5" borderId="0" xfId="0" applyNumberFormat="1" applyFill="1"/>
    <xf numFmtId="8" fontId="0" fillId="5" borderId="0" xfId="0" applyNumberFormat="1" applyFill="1"/>
    <xf numFmtId="0" fontId="5" fillId="0" borderId="3" xfId="0" applyFont="1" applyFill="1" applyBorder="1" applyAlignment="1">
      <alignment vertical="center"/>
    </xf>
    <xf numFmtId="0" fontId="0" fillId="0" borderId="32" xfId="0" applyFill="1" applyBorder="1"/>
    <xf numFmtId="9" fontId="5" fillId="0" borderId="11" xfId="0" applyNumberFormat="1" applyFont="1" applyFill="1" applyBorder="1" applyAlignment="1">
      <alignment vertical="center"/>
    </xf>
    <xf numFmtId="164" fontId="0" fillId="3" borderId="0" xfId="0" applyNumberFormat="1" applyFill="1"/>
  </cellXfs>
  <cellStyles count="5">
    <cellStyle name="Comma" xfId="1" builtinId="3"/>
    <cellStyle name="Comma 2" xfId="4" xr:uid="{875788CB-31AD-40AF-AE70-12460CD66B3A}"/>
    <cellStyle name="Normal" xfId="0" builtinId="0"/>
    <cellStyle name="Normal 2" xfId="3" xr:uid="{2F2B6D45-BF06-4E35-8BEE-06F9298F7406}"/>
    <cellStyle name="Percent" xfId="2" builtinId="5"/>
  </cellStyles>
  <dxfs count="0"/>
  <tableStyles count="0" defaultTableStyle="TableStyleMedium2" defaultPivotStyle="PivotStyleLight16"/>
  <colors>
    <mruColors>
      <color rgb="FFFF99CC"/>
      <color rgb="FF9999FF"/>
      <color rgb="FF00FFCC"/>
      <color rgb="FF002060"/>
      <color rgb="FF00D1FF"/>
      <color rgb="FFD9D9D9"/>
      <color rgb="FFF7F7F7"/>
      <color rgb="FF506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percentStacked"/>
        <c:varyColors val="0"/>
        <c:ser>
          <c:idx val="0"/>
          <c:order val="0"/>
          <c:tx>
            <c:v>Circulating CVP for Liquidity Pool</c:v>
          </c:tx>
          <c:spPr>
            <a:solidFill>
              <a:srgbClr val="00D1FF"/>
            </a:solidFill>
            <a:ln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Forecast!$B$3:$B$26</c15:sqref>
                  </c15:fullRef>
                </c:ext>
              </c:extLst>
              <c:f>Forecast!$B$3:$B$26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Forecast!$E$3:$E$26</c15:sqref>
                  </c15:fullRef>
                </c:ext>
              </c:extLst>
              <c:f>Forecast!$E$3:$E$26</c:f>
              <c:numCache>
                <c:formatCode>#,##0</c:formatCode>
                <c:ptCount val="24"/>
                <c:pt idx="0">
                  <c:v>4020115.5</c:v>
                </c:pt>
                <c:pt idx="1">
                  <c:v>4020115.5</c:v>
                </c:pt>
                <c:pt idx="2">
                  <c:v>4020115.5</c:v>
                </c:pt>
                <c:pt idx="3">
                  <c:v>4020115.5</c:v>
                </c:pt>
                <c:pt idx="4">
                  <c:v>4020115.5</c:v>
                </c:pt>
                <c:pt idx="5">
                  <c:v>4020115.5</c:v>
                </c:pt>
                <c:pt idx="6">
                  <c:v>5860154</c:v>
                </c:pt>
                <c:pt idx="7">
                  <c:v>6360154</c:v>
                </c:pt>
                <c:pt idx="8">
                  <c:v>6860154</c:v>
                </c:pt>
                <c:pt idx="9">
                  <c:v>7360154</c:v>
                </c:pt>
                <c:pt idx="10">
                  <c:v>7860154</c:v>
                </c:pt>
                <c:pt idx="11">
                  <c:v>8360154</c:v>
                </c:pt>
                <c:pt idx="12">
                  <c:v>11776820.666666668</c:v>
                </c:pt>
                <c:pt idx="13">
                  <c:v>15193487.333333336</c:v>
                </c:pt>
                <c:pt idx="14">
                  <c:v>18610154.000000004</c:v>
                </c:pt>
                <c:pt idx="15">
                  <c:v>22026820.666666668</c:v>
                </c:pt>
                <c:pt idx="16">
                  <c:v>25443487.333333332</c:v>
                </c:pt>
                <c:pt idx="17">
                  <c:v>28860153.999999996</c:v>
                </c:pt>
                <c:pt idx="18">
                  <c:v>32276820.66666666</c:v>
                </c:pt>
                <c:pt idx="19">
                  <c:v>35693487.333333328</c:v>
                </c:pt>
                <c:pt idx="20">
                  <c:v>39110154</c:v>
                </c:pt>
                <c:pt idx="21">
                  <c:v>42526820.666666672</c:v>
                </c:pt>
                <c:pt idx="22">
                  <c:v>45943487.333333343</c:v>
                </c:pt>
                <c:pt idx="23">
                  <c:v>49360154.000000015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7E-474E-8704-3C14EE2FCEEC}"/>
            </c:ext>
          </c:extLst>
        </c:ser>
        <c:ser>
          <c:idx val="1"/>
          <c:order val="1"/>
          <c:tx>
            <c:strRef>
              <c:f>Forecast!$Q$1</c:f>
              <c:strCache>
                <c:ptCount val="1"/>
                <c:pt idx="0">
                  <c:v>CVP in Community Treasury</c:v>
                </c:pt>
              </c:strCache>
            </c:strRef>
          </c:tx>
          <c:spPr>
            <a:solidFill>
              <a:srgbClr val="002060"/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Forecast!$B$3:$B$26</c15:sqref>
                  </c15:fullRef>
                </c:ext>
              </c:extLst>
              <c:f>Forecast!$B$3:$B$26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Forecast!$Q$3:$Q$26</c15:sqref>
                  </c15:fullRef>
                </c:ext>
              </c:extLst>
              <c:f>Forecast!$Q$3:$Q$26</c:f>
              <c:numCache>
                <c:formatCode>#,##0</c:formatCode>
                <c:ptCount val="24"/>
                <c:pt idx="0">
                  <c:v>72639846</c:v>
                </c:pt>
                <c:pt idx="1">
                  <c:v>70639846</c:v>
                </c:pt>
                <c:pt idx="2">
                  <c:v>68639846</c:v>
                </c:pt>
                <c:pt idx="3">
                  <c:v>66639846</c:v>
                </c:pt>
                <c:pt idx="4">
                  <c:v>64639846</c:v>
                </c:pt>
                <c:pt idx="5">
                  <c:v>62639846</c:v>
                </c:pt>
                <c:pt idx="6">
                  <c:v>60639846</c:v>
                </c:pt>
                <c:pt idx="7">
                  <c:v>58639846</c:v>
                </c:pt>
                <c:pt idx="8">
                  <c:v>56639846</c:v>
                </c:pt>
                <c:pt idx="9">
                  <c:v>54639846</c:v>
                </c:pt>
                <c:pt idx="10">
                  <c:v>52639846</c:v>
                </c:pt>
                <c:pt idx="11">
                  <c:v>50639846</c:v>
                </c:pt>
                <c:pt idx="12">
                  <c:v>50639846</c:v>
                </c:pt>
                <c:pt idx="13">
                  <c:v>50639846</c:v>
                </c:pt>
                <c:pt idx="14">
                  <c:v>50639846</c:v>
                </c:pt>
                <c:pt idx="15">
                  <c:v>50639846</c:v>
                </c:pt>
                <c:pt idx="16">
                  <c:v>50639846</c:v>
                </c:pt>
                <c:pt idx="17">
                  <c:v>50639846</c:v>
                </c:pt>
                <c:pt idx="18">
                  <c:v>50639846</c:v>
                </c:pt>
                <c:pt idx="19">
                  <c:v>50639846</c:v>
                </c:pt>
                <c:pt idx="20">
                  <c:v>50639846</c:v>
                </c:pt>
                <c:pt idx="21">
                  <c:v>50639846</c:v>
                </c:pt>
                <c:pt idx="22">
                  <c:v>50639846</c:v>
                </c:pt>
                <c:pt idx="23">
                  <c:v>50639846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B7E-474E-8704-3C14EE2FCEEC}"/>
            </c:ext>
          </c:extLst>
        </c:ser>
        <c:ser>
          <c:idx val="5"/>
          <c:order val="2"/>
          <c:tx>
            <c:strRef>
              <c:f>Forecast!$L$1</c:f>
              <c:strCache>
                <c:ptCount val="1"/>
                <c:pt idx="0">
                  <c:v>CVP Locked From Governance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Forecast!$B$3:$B$26</c15:sqref>
                  </c15:fullRef>
                </c:ext>
              </c:extLst>
              <c:f>Forecast!$B$3:$B$26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Forecast!$L$3:$L$26</c15:sqref>
                  </c15:fullRef>
                </c:ext>
              </c:extLst>
              <c:f>Forecast!$L$3:$L$26</c:f>
              <c:numCache>
                <c:formatCode>#,##0</c:formatCode>
                <c:ptCount val="24"/>
                <c:pt idx="0">
                  <c:v>1340038.5</c:v>
                </c:pt>
                <c:pt idx="1">
                  <c:v>1340038.5</c:v>
                </c:pt>
                <c:pt idx="2">
                  <c:v>1340038.5</c:v>
                </c:pt>
                <c:pt idx="3">
                  <c:v>1340038.5</c:v>
                </c:pt>
                <c:pt idx="4">
                  <c:v>1340038.5</c:v>
                </c:pt>
                <c:pt idx="5">
                  <c:v>1340038.5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7E-474E-8704-3C14EE2FCEEC}"/>
            </c:ext>
          </c:extLst>
        </c:ser>
        <c:ser>
          <c:idx val="6"/>
          <c:order val="3"/>
          <c:tx>
            <c:v>CVP Locked Governance Rewards</c:v>
          </c:tx>
          <c:spPr>
            <a:solidFill>
              <a:srgbClr val="FF99CC"/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Forecast!$B$3:$B$26</c15:sqref>
                  </c15:fullRef>
                </c:ext>
              </c:extLst>
              <c:f>Forecast!$B$3:$B$26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Forecast!$O$3:$O$26</c15:sqref>
                  </c15:fullRef>
                </c:ext>
              </c:extLst>
              <c:f>Forecast!$O$3:$O$26</c:f>
              <c:numCache>
                <c:formatCode>#,##0</c:formatCode>
                <c:ptCount val="24"/>
                <c:pt idx="0">
                  <c:v>3000000</c:v>
                </c:pt>
                <c:pt idx="1">
                  <c:v>3000000</c:v>
                </c:pt>
                <c:pt idx="2">
                  <c:v>3000000</c:v>
                </c:pt>
                <c:pt idx="3">
                  <c:v>3000000</c:v>
                </c:pt>
                <c:pt idx="4">
                  <c:v>3000000</c:v>
                </c:pt>
                <c:pt idx="5">
                  <c:v>3000000</c:v>
                </c:pt>
                <c:pt idx="6">
                  <c:v>2500000</c:v>
                </c:pt>
                <c:pt idx="7">
                  <c:v>2000000</c:v>
                </c:pt>
                <c:pt idx="8">
                  <c:v>1500000</c:v>
                </c:pt>
                <c:pt idx="9">
                  <c:v>1000000</c:v>
                </c:pt>
                <c:pt idx="10">
                  <c:v>500000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7E-474E-8704-3C14EE2FCEEC}"/>
            </c:ext>
          </c:extLst>
        </c:ser>
        <c:ser>
          <c:idx val="3"/>
          <c:order val="4"/>
          <c:tx>
            <c:v>CVP Locked DAO Grants </c:v>
          </c:tx>
          <c:spPr>
            <a:solidFill>
              <a:srgbClr val="00FFCC"/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Forecast!$B$3:$B$26</c15:sqref>
                  </c15:fullRef>
                </c:ext>
              </c:extLst>
              <c:f>Forecast!$B$3:$B$26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Forecast!$T$3:$T$38</c15:sqref>
                  </c15:fullRef>
                </c:ext>
              </c:extLst>
              <c:f>Forecast!$T$3:$T$26</c:f>
              <c:numCache>
                <c:formatCode>#,##0</c:formatCode>
                <c:ptCount val="24"/>
                <c:pt idx="0">
                  <c:v>7000000</c:v>
                </c:pt>
                <c:pt idx="1">
                  <c:v>7000000</c:v>
                </c:pt>
                <c:pt idx="2">
                  <c:v>7000000</c:v>
                </c:pt>
                <c:pt idx="3">
                  <c:v>7000000</c:v>
                </c:pt>
                <c:pt idx="4">
                  <c:v>7000000</c:v>
                </c:pt>
                <c:pt idx="5">
                  <c:v>7000000</c:v>
                </c:pt>
                <c:pt idx="6">
                  <c:v>7000000</c:v>
                </c:pt>
                <c:pt idx="7">
                  <c:v>7000000</c:v>
                </c:pt>
                <c:pt idx="8">
                  <c:v>7000000</c:v>
                </c:pt>
                <c:pt idx="9">
                  <c:v>7000000</c:v>
                </c:pt>
                <c:pt idx="10">
                  <c:v>7000000</c:v>
                </c:pt>
                <c:pt idx="11">
                  <c:v>7000000</c:v>
                </c:pt>
                <c:pt idx="12">
                  <c:v>7000000</c:v>
                </c:pt>
                <c:pt idx="13">
                  <c:v>7000000</c:v>
                </c:pt>
                <c:pt idx="14">
                  <c:v>7000000</c:v>
                </c:pt>
                <c:pt idx="15">
                  <c:v>7000000</c:v>
                </c:pt>
                <c:pt idx="16">
                  <c:v>7000000</c:v>
                </c:pt>
                <c:pt idx="17">
                  <c:v>7000000</c:v>
                </c:pt>
                <c:pt idx="18">
                  <c:v>7000000</c:v>
                </c:pt>
                <c:pt idx="19">
                  <c:v>7000000</c:v>
                </c:pt>
                <c:pt idx="20">
                  <c:v>7000000</c:v>
                </c:pt>
                <c:pt idx="21">
                  <c:v>7000000</c:v>
                </c:pt>
                <c:pt idx="22">
                  <c:v>7000000</c:v>
                </c:pt>
                <c:pt idx="23">
                  <c:v>7000000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7E-474E-8704-3C14EE2FCEEC}"/>
            </c:ext>
          </c:extLst>
        </c:ser>
        <c:ser>
          <c:idx val="2"/>
          <c:order val="5"/>
          <c:tx>
            <c:v>CVP Locked Beta &amp; Gamma</c:v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Forecast!$B$3:$B$26</c15:sqref>
                  </c15:fullRef>
                </c:ext>
              </c:extLst>
              <c:f>Forecast!$B$3:$B$26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Forecast!$R$3:$R$26</c15:sqref>
                  </c15:fullRef>
                </c:ext>
              </c:extLst>
              <c:f>Forecast!$R$3:$R$26</c:f>
              <c:numCache>
                <c:formatCode>#,##0</c:formatCode>
                <c:ptCount val="24"/>
                <c:pt idx="0">
                  <c:v>10000000</c:v>
                </c:pt>
                <c:pt idx="1">
                  <c:v>10000000</c:v>
                </c:pt>
                <c:pt idx="2">
                  <c:v>10000000</c:v>
                </c:pt>
                <c:pt idx="3">
                  <c:v>10000000</c:v>
                </c:pt>
                <c:pt idx="4">
                  <c:v>10000000</c:v>
                </c:pt>
                <c:pt idx="5">
                  <c:v>10000000</c:v>
                </c:pt>
                <c:pt idx="6">
                  <c:v>10000000</c:v>
                </c:pt>
                <c:pt idx="7">
                  <c:v>10000000</c:v>
                </c:pt>
                <c:pt idx="8">
                  <c:v>10000000</c:v>
                </c:pt>
                <c:pt idx="9">
                  <c:v>10000000</c:v>
                </c:pt>
                <c:pt idx="10">
                  <c:v>10000000</c:v>
                </c:pt>
                <c:pt idx="11">
                  <c:v>10000000</c:v>
                </c:pt>
                <c:pt idx="12" formatCode="_(* #,##0_);_(* \(#,##0\);_(* &quot;-&quot;??_);_(@_)">
                  <c:v>9166666.666666666</c:v>
                </c:pt>
                <c:pt idx="13" formatCode="_(* #,##0_);_(* \(#,##0\);_(* &quot;-&quot;??_);_(@_)">
                  <c:v>8333333.333333333</c:v>
                </c:pt>
                <c:pt idx="14" formatCode="_(* #,##0_);_(* \(#,##0\);_(* &quot;-&quot;??_);_(@_)">
                  <c:v>7500000</c:v>
                </c:pt>
                <c:pt idx="15" formatCode="_(* #,##0_);_(* \(#,##0\);_(* &quot;-&quot;??_);_(@_)">
                  <c:v>6666666.666666667</c:v>
                </c:pt>
                <c:pt idx="16" formatCode="_(* #,##0_);_(* \(#,##0\);_(* &quot;-&quot;??_);_(@_)">
                  <c:v>5833333.333333334</c:v>
                </c:pt>
                <c:pt idx="17" formatCode="_(* #,##0_);_(* \(#,##0\);_(* &quot;-&quot;??_);_(@_)">
                  <c:v>5000000.0000000009</c:v>
                </c:pt>
                <c:pt idx="18" formatCode="_(* #,##0_);_(* \(#,##0\);_(* &quot;-&quot;??_);_(@_)">
                  <c:v>4166666.6666666674</c:v>
                </c:pt>
                <c:pt idx="19" formatCode="_(* #,##0_);_(* \(#,##0\);_(* &quot;-&quot;??_);_(@_)">
                  <c:v>3333333.333333334</c:v>
                </c:pt>
                <c:pt idx="20" formatCode="_(* #,##0_);_(* \(#,##0\);_(* &quot;-&quot;??_);_(@_)">
                  <c:v>2500000.0000000005</c:v>
                </c:pt>
                <c:pt idx="21" formatCode="_(* #,##0_);_(* \(#,##0\);_(* &quot;-&quot;??_);_(@_)">
                  <c:v>1666666.666666667</c:v>
                </c:pt>
                <c:pt idx="22" formatCode="_(* #,##0_);_(* \(#,##0\);_(* &quot;-&quot;??_);_(@_)">
                  <c:v>833333.3333333336</c:v>
                </c:pt>
                <c:pt idx="23" formatCode="_(* #,##0_);_(* \(#,##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7E-474E-8704-3C14EE2FCEEC}"/>
            </c:ext>
          </c:extLst>
        </c:ser>
        <c:ser>
          <c:idx val="4"/>
          <c:order val="6"/>
          <c:tx>
            <c:v>CVP Locked Liquidity Mining Rewards</c:v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Forecast!$B$3:$B$26</c15:sqref>
                  </c15:fullRef>
                </c:ext>
              </c:extLst>
              <c:f>Forecast!$B$3:$B$26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Forecast!$W$3:$W$26</c15:sqref>
                  </c15:fullRef>
                </c:ext>
              </c:extLst>
              <c:f>Forecast!$W$3:$W$26</c:f>
              <c:numCache>
                <c:formatCode>#,##0</c:formatCode>
                <c:ptCount val="24"/>
                <c:pt idx="0">
                  <c:v>2000000</c:v>
                </c:pt>
                <c:pt idx="1">
                  <c:v>4000000</c:v>
                </c:pt>
                <c:pt idx="2">
                  <c:v>6000000</c:v>
                </c:pt>
                <c:pt idx="3">
                  <c:v>8000000</c:v>
                </c:pt>
                <c:pt idx="4">
                  <c:v>10000000</c:v>
                </c:pt>
                <c:pt idx="5">
                  <c:v>12000000</c:v>
                </c:pt>
                <c:pt idx="6">
                  <c:v>14000000</c:v>
                </c:pt>
                <c:pt idx="7">
                  <c:v>16000000</c:v>
                </c:pt>
                <c:pt idx="8">
                  <c:v>18000000</c:v>
                </c:pt>
                <c:pt idx="9">
                  <c:v>20000000</c:v>
                </c:pt>
                <c:pt idx="10">
                  <c:v>22000000</c:v>
                </c:pt>
                <c:pt idx="11">
                  <c:v>24000000</c:v>
                </c:pt>
                <c:pt idx="12">
                  <c:v>22000000</c:v>
                </c:pt>
                <c:pt idx="13">
                  <c:v>20000000</c:v>
                </c:pt>
                <c:pt idx="14">
                  <c:v>18000000</c:v>
                </c:pt>
                <c:pt idx="15">
                  <c:v>16000000</c:v>
                </c:pt>
                <c:pt idx="16">
                  <c:v>14000000</c:v>
                </c:pt>
                <c:pt idx="17">
                  <c:v>12000000</c:v>
                </c:pt>
                <c:pt idx="18">
                  <c:v>10000000</c:v>
                </c:pt>
                <c:pt idx="19">
                  <c:v>8000000</c:v>
                </c:pt>
                <c:pt idx="20">
                  <c:v>6000000</c:v>
                </c:pt>
                <c:pt idx="21">
                  <c:v>4000000</c:v>
                </c:pt>
                <c:pt idx="22">
                  <c:v>2000000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B7E-474E-8704-3C14EE2FC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562463"/>
        <c:axId val="583174431"/>
      </c:areaChart>
      <c:catAx>
        <c:axId val="42656246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>
                    <a:solidFill>
                      <a:sysClr val="windowText" lastClr="000000"/>
                    </a:solidFill>
                  </a:rPr>
                  <a:t>Month #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174431"/>
        <c:crosses val="autoZero"/>
        <c:auto val="1"/>
        <c:lblAlgn val="ctr"/>
        <c:lblOffset val="100"/>
        <c:noMultiLvlLbl val="0"/>
      </c:catAx>
      <c:valAx>
        <c:axId val="583174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>
                    <a:solidFill>
                      <a:sysClr val="windowText" lastClr="000000"/>
                    </a:solidFill>
                  </a:rPr>
                  <a:t>% of Total</a:t>
                </a:r>
                <a:r>
                  <a:rPr lang="en-US" sz="2400" baseline="0">
                    <a:solidFill>
                      <a:sysClr val="windowText" lastClr="000000"/>
                    </a:solidFill>
                  </a:rPr>
                  <a:t> CVP Supply</a:t>
                </a:r>
                <a:endParaRPr lang="en-US" sz="24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56246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1310170</xdr:colOff>
      <xdr:row>0</xdr:row>
      <xdr:rowOff>35109</xdr:rowOff>
    </xdr:from>
    <xdr:to>
      <xdr:col>2</xdr:col>
      <xdr:colOff>670301</xdr:colOff>
      <xdr:row>2</xdr:row>
      <xdr:rowOff>146412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9F526C-4BC0-40F7-ACB5-DFC28D69D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0488" y="35109"/>
          <a:ext cx="1588404" cy="4807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1108992</xdr:colOff>
      <xdr:row>1</xdr:row>
      <xdr:rowOff>146956</xdr:rowOff>
    </xdr:from>
    <xdr:to>
      <xdr:col>26</xdr:col>
      <xdr:colOff>546099</xdr:colOff>
      <xdr:row>60</xdr:row>
      <xdr:rowOff>148353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E8AA4EB-1062-4DBA-A5ED-D5CE0BD00B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AB3A1-BC9E-4E01-AE6C-4695F19055C9}">
  <dimension ref="A1:G28"/>
  <sheetViews>
    <sheetView showGridLines="0" tabSelected="1" zoomScale="110" zoomScaleNormal="110" workbookViewId="0">
      <selection activeCell="B28" sqref="B28"/>
    </sheetView>
  </sheetViews>
  <sheetFormatPr defaultRowHeight="14.5" x14ac:dyDescent="0.35"/>
  <cols>
    <col min="1" max="1" width="16.6328125" style="14" customWidth="1"/>
    <col min="2" max="2" width="31.90625" style="14" bestFit="1" customWidth="1"/>
    <col min="3" max="3" width="30.90625" style="20" bestFit="1" customWidth="1"/>
    <col min="4" max="4" width="79.08984375" style="14" bestFit="1" customWidth="1"/>
    <col min="5" max="5" width="34.6328125" style="14" bestFit="1" customWidth="1"/>
    <col min="6" max="16384" width="8.7265625" style="14"/>
  </cols>
  <sheetData>
    <row r="1" spans="1:7" x14ac:dyDescent="0.35">
      <c r="A1" s="1" t="s">
        <v>0</v>
      </c>
      <c r="B1" s="88"/>
      <c r="C1" s="89"/>
    </row>
    <row r="2" spans="1:7" x14ac:dyDescent="0.35">
      <c r="A2" s="2" t="s">
        <v>1</v>
      </c>
      <c r="B2" s="90"/>
      <c r="C2" s="91"/>
    </row>
    <row r="3" spans="1:7" ht="15" thickBot="1" x14ac:dyDescent="0.4">
      <c r="A3" s="3" t="s">
        <v>2</v>
      </c>
      <c r="B3" s="92"/>
      <c r="C3" s="93"/>
    </row>
    <row r="4" spans="1:7" x14ac:dyDescent="0.35">
      <c r="C4" s="14"/>
    </row>
    <row r="5" spans="1:7" ht="15" thickBot="1" x14ac:dyDescent="0.4">
      <c r="C5" s="14"/>
    </row>
    <row r="6" spans="1:7" x14ac:dyDescent="0.35">
      <c r="A6" s="19" t="s">
        <v>3</v>
      </c>
      <c r="B6" s="5" t="s">
        <v>4</v>
      </c>
      <c r="C6" s="4" t="s">
        <v>5</v>
      </c>
      <c r="D6" s="6" t="s">
        <v>6</v>
      </c>
    </row>
    <row r="7" spans="1:7" x14ac:dyDescent="0.35">
      <c r="A7" s="94" t="s">
        <v>54</v>
      </c>
      <c r="B7" s="73" t="s">
        <v>10</v>
      </c>
      <c r="C7" s="78">
        <v>5000000</v>
      </c>
      <c r="D7" s="41" t="s">
        <v>14</v>
      </c>
    </row>
    <row r="8" spans="1:7" x14ac:dyDescent="0.35">
      <c r="A8" s="95"/>
      <c r="B8" s="16" t="s">
        <v>11</v>
      </c>
      <c r="C8" s="79">
        <v>5000000</v>
      </c>
      <c r="D8" s="36" t="s">
        <v>37</v>
      </c>
    </row>
    <row r="9" spans="1:7" x14ac:dyDescent="0.35">
      <c r="A9" s="95"/>
      <c r="B9" s="16" t="s">
        <v>12</v>
      </c>
      <c r="C9" s="79">
        <v>5000000</v>
      </c>
      <c r="D9" s="36" t="s">
        <v>37</v>
      </c>
    </row>
    <row r="10" spans="1:7" x14ac:dyDescent="0.35">
      <c r="A10" s="95"/>
      <c r="B10" s="16" t="s">
        <v>13</v>
      </c>
      <c r="C10" s="79">
        <v>360154</v>
      </c>
      <c r="D10" s="35" t="s">
        <v>41</v>
      </c>
      <c r="G10" s="20"/>
    </row>
    <row r="11" spans="1:7" x14ac:dyDescent="0.35">
      <c r="A11" s="96"/>
      <c r="B11" s="17" t="s">
        <v>15</v>
      </c>
      <c r="C11" s="80">
        <v>100000000</v>
      </c>
      <c r="D11" s="37"/>
    </row>
    <row r="12" spans="1:7" x14ac:dyDescent="0.35">
      <c r="A12" s="97" t="s">
        <v>55</v>
      </c>
      <c r="B12" s="16" t="s">
        <v>34</v>
      </c>
      <c r="C12" s="18">
        <f>C7+C10</f>
        <v>5360154</v>
      </c>
      <c r="D12" s="36" t="s">
        <v>35</v>
      </c>
    </row>
    <row r="13" spans="1:7" x14ac:dyDescent="0.35">
      <c r="A13" s="98"/>
      <c r="B13" s="74" t="s">
        <v>36</v>
      </c>
      <c r="C13" s="81">
        <v>7000000</v>
      </c>
      <c r="D13" s="36" t="s">
        <v>57</v>
      </c>
    </row>
    <row r="14" spans="1:7" x14ac:dyDescent="0.35">
      <c r="A14" s="98"/>
      <c r="B14" s="74" t="s">
        <v>39</v>
      </c>
      <c r="C14" s="82">
        <f>C11-C7-C8-C9-C10</f>
        <v>84639846</v>
      </c>
      <c r="D14" s="38"/>
    </row>
    <row r="15" spans="1:7" x14ac:dyDescent="0.35">
      <c r="A15" s="98"/>
      <c r="B15" s="16" t="s">
        <v>38</v>
      </c>
      <c r="C15" s="83">
        <f>C14-C13</f>
        <v>77639846</v>
      </c>
      <c r="D15" s="39"/>
    </row>
    <row r="16" spans="1:7" x14ac:dyDescent="0.35">
      <c r="A16" s="98"/>
      <c r="B16" s="16" t="s">
        <v>40</v>
      </c>
      <c r="C16" s="81">
        <v>2000000</v>
      </c>
      <c r="D16" s="36" t="s">
        <v>61</v>
      </c>
    </row>
    <row r="17" spans="1:4" x14ac:dyDescent="0.35">
      <c r="A17" s="98"/>
      <c r="B17" s="74" t="s">
        <v>44</v>
      </c>
      <c r="C17" s="84">
        <v>0.25</v>
      </c>
      <c r="D17" s="38" t="s">
        <v>42</v>
      </c>
    </row>
    <row r="18" spans="1:4" ht="15" thickBot="1" x14ac:dyDescent="0.4">
      <c r="A18" s="99"/>
      <c r="B18" s="75" t="s">
        <v>43</v>
      </c>
      <c r="C18" s="85">
        <v>3000000</v>
      </c>
      <c r="D18" s="40" t="s">
        <v>58</v>
      </c>
    </row>
    <row r="19" spans="1:4" x14ac:dyDescent="0.35">
      <c r="A19" s="100" t="s">
        <v>56</v>
      </c>
      <c r="B19" s="119" t="s">
        <v>45</v>
      </c>
      <c r="C19" s="118">
        <f>1/8</f>
        <v>0.125</v>
      </c>
      <c r="D19" s="38" t="s">
        <v>50</v>
      </c>
    </row>
    <row r="20" spans="1:4" x14ac:dyDescent="0.35">
      <c r="A20" s="100"/>
      <c r="B20" s="76" t="s">
        <v>47</v>
      </c>
      <c r="C20" s="86">
        <v>300000000</v>
      </c>
      <c r="D20" s="72"/>
    </row>
    <row r="21" spans="1:4" x14ac:dyDescent="0.35">
      <c r="A21" s="100"/>
      <c r="B21" s="76" t="s">
        <v>59</v>
      </c>
      <c r="C21" s="120">
        <v>0.2</v>
      </c>
      <c r="D21" s="38" t="s">
        <v>53</v>
      </c>
    </row>
    <row r="22" spans="1:4" ht="15" thickBot="1" x14ac:dyDescent="0.4">
      <c r="A22" s="101"/>
      <c r="B22" s="77" t="s">
        <v>60</v>
      </c>
      <c r="C22" s="87">
        <v>0.05</v>
      </c>
      <c r="D22" s="40" t="s">
        <v>53</v>
      </c>
    </row>
    <row r="28" spans="1:4" x14ac:dyDescent="0.35">
      <c r="D28" s="121"/>
    </row>
  </sheetData>
  <mergeCells count="4">
    <mergeCell ref="B1:C3"/>
    <mergeCell ref="A7:A11"/>
    <mergeCell ref="A12:A18"/>
    <mergeCell ref="A19:A22"/>
  </mergeCells>
  <phoneticPr fontId="4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FF37C-1CB1-43E5-B8F6-8300CFAA230E}">
  <dimension ref="O1:Q38"/>
  <sheetViews>
    <sheetView showGridLines="0" zoomScale="50" zoomScaleNormal="50" workbookViewId="0">
      <selection activeCell="AH46" sqref="AH46"/>
    </sheetView>
  </sheetViews>
  <sheetFormatPr defaultRowHeight="14.5" x14ac:dyDescent="0.35"/>
  <cols>
    <col min="1" max="1" width="17.08984375" style="14" customWidth="1"/>
    <col min="2" max="19" width="8.7265625" style="14"/>
    <col min="20" max="20" width="16.90625" style="14" bestFit="1" customWidth="1"/>
    <col min="21" max="21" width="10.08984375" style="14" bestFit="1" customWidth="1"/>
    <col min="22" max="22" width="12.7265625" style="14" bestFit="1" customWidth="1"/>
    <col min="23" max="23" width="11.26953125" style="14" bestFit="1" customWidth="1"/>
    <col min="24" max="24" width="9.453125" style="14" bestFit="1" customWidth="1"/>
    <col min="25" max="25" width="12.1796875" style="14" bestFit="1" customWidth="1"/>
    <col min="26" max="16384" width="8.7265625" style="14"/>
  </cols>
  <sheetData>
    <row r="1" s="13" customFormat="1" x14ac:dyDescent="0.35"/>
    <row r="35" spans="15:17" x14ac:dyDescent="0.35">
      <c r="O35" s="15"/>
      <c r="P35" s="15"/>
      <c r="Q35" s="15"/>
    </row>
    <row r="36" spans="15:17" x14ac:dyDescent="0.35">
      <c r="O36" s="15"/>
      <c r="P36" s="15"/>
      <c r="Q36" s="15"/>
    </row>
    <row r="37" spans="15:17" x14ac:dyDescent="0.35">
      <c r="O37" s="15"/>
      <c r="P37" s="15"/>
      <c r="Q37" s="15"/>
    </row>
    <row r="38" spans="15:17" x14ac:dyDescent="0.35">
      <c r="O38" s="15"/>
      <c r="P38" s="15"/>
      <c r="Q38" s="15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EC60B-8CBA-4918-97CC-3EC9535F830A}">
  <dimension ref="A1:X38"/>
  <sheetViews>
    <sheetView showGridLines="0" zoomScale="80" zoomScaleNormal="80" workbookViewId="0">
      <selection activeCell="E40" sqref="E40"/>
    </sheetView>
  </sheetViews>
  <sheetFormatPr defaultRowHeight="14.5" x14ac:dyDescent="0.35"/>
  <cols>
    <col min="1" max="1" width="10.81640625" bestFit="1" customWidth="1"/>
    <col min="4" max="4" width="23.26953125" customWidth="1"/>
    <col min="5" max="11" width="32.1796875" customWidth="1"/>
    <col min="12" max="12" width="25.453125" customWidth="1"/>
    <col min="13" max="14" width="30.26953125" customWidth="1"/>
    <col min="15" max="16" width="30.90625" customWidth="1"/>
    <col min="17" max="17" width="27.81640625" customWidth="1"/>
    <col min="18" max="21" width="25.90625" customWidth="1"/>
    <col min="22" max="22" width="28.7265625" customWidth="1"/>
    <col min="23" max="23" width="32" customWidth="1"/>
    <col min="24" max="24" width="28.90625" customWidth="1"/>
    <col min="25" max="25" width="11.453125" style="21" customWidth="1"/>
    <col min="26" max="26" width="19.90625" style="21" customWidth="1"/>
    <col min="27" max="27" width="12.7265625" style="21" bestFit="1" customWidth="1"/>
    <col min="28" max="28" width="20.54296875" style="21" customWidth="1"/>
    <col min="29" max="29" width="15.7265625" style="21" customWidth="1"/>
    <col min="30" max="16384" width="8.7265625" style="21"/>
  </cols>
  <sheetData>
    <row r="1" spans="1:24" ht="29" x14ac:dyDescent="0.35">
      <c r="A1" s="11" t="s">
        <v>7</v>
      </c>
      <c r="B1" s="12" t="s">
        <v>9</v>
      </c>
      <c r="C1" s="12" t="s">
        <v>8</v>
      </c>
      <c r="D1" s="12" t="s">
        <v>27</v>
      </c>
      <c r="E1" s="12" t="s">
        <v>28</v>
      </c>
      <c r="F1" s="12" t="s">
        <v>46</v>
      </c>
      <c r="G1" s="12" t="s">
        <v>48</v>
      </c>
      <c r="H1" s="12" t="s">
        <v>49</v>
      </c>
      <c r="I1" s="12" t="s">
        <v>51</v>
      </c>
      <c r="J1" s="12" t="s">
        <v>19</v>
      </c>
      <c r="K1" s="12" t="s">
        <v>52</v>
      </c>
      <c r="L1" s="12" t="s">
        <v>29</v>
      </c>
      <c r="M1" s="12" t="s">
        <v>30</v>
      </c>
      <c r="N1" s="12" t="s">
        <v>31</v>
      </c>
      <c r="O1" s="12" t="s">
        <v>32</v>
      </c>
      <c r="P1" s="12" t="s">
        <v>33</v>
      </c>
      <c r="Q1" s="12" t="s">
        <v>26</v>
      </c>
      <c r="R1" s="12" t="s">
        <v>21</v>
      </c>
      <c r="S1" s="12" t="s">
        <v>22</v>
      </c>
      <c r="T1" s="12" t="s">
        <v>23</v>
      </c>
      <c r="U1" s="12" t="s">
        <v>25</v>
      </c>
      <c r="V1" s="12" t="s">
        <v>16</v>
      </c>
      <c r="W1" s="12" t="s">
        <v>24</v>
      </c>
      <c r="X1" s="42" t="s">
        <v>20</v>
      </c>
    </row>
    <row r="2" spans="1:24" s="22" customFormat="1" x14ac:dyDescent="0.35">
      <c r="A2" s="46">
        <v>44104</v>
      </c>
      <c r="B2" s="50"/>
      <c r="C2" s="50"/>
      <c r="D2" s="54">
        <f>E2+Q2+R2+T2+W2+L2+O2</f>
        <v>100000000</v>
      </c>
      <c r="E2" s="57">
        <f>(Inputs!$C$12-L2)</f>
        <v>4020115.5</v>
      </c>
      <c r="F2" s="64"/>
      <c r="G2" s="57"/>
      <c r="H2" s="57"/>
      <c r="I2" s="57"/>
      <c r="J2" s="57"/>
      <c r="K2" s="57"/>
      <c r="L2" s="57">
        <f>(Inputs!$C$12*Inputs!$C$17)</f>
        <v>1340038.5</v>
      </c>
      <c r="M2" s="57"/>
      <c r="N2" s="57"/>
      <c r="O2" s="57"/>
      <c r="P2" s="57"/>
      <c r="Q2" s="57">
        <f>Inputs!$C$15</f>
        <v>77639846</v>
      </c>
      <c r="R2" s="57">
        <v>10000000</v>
      </c>
      <c r="S2" s="57"/>
      <c r="T2" s="57">
        <f>Inputs!$C$13</f>
        <v>7000000</v>
      </c>
      <c r="U2" s="57"/>
      <c r="V2" s="68"/>
      <c r="W2" s="68"/>
      <c r="X2" s="43"/>
    </row>
    <row r="3" spans="1:24" x14ac:dyDescent="0.35">
      <c r="A3" s="47">
        <v>44135</v>
      </c>
      <c r="B3" s="51">
        <v>1</v>
      </c>
      <c r="C3" s="51">
        <v>1</v>
      </c>
      <c r="D3" s="54">
        <f t="shared" ref="D3:D26" si="0">E3+Q3+R3+T3+W3+L3+O3</f>
        <v>100000000</v>
      </c>
      <c r="E3" s="58">
        <f>E2+M3+P3+S3+U3+X3</f>
        <v>4020115.5</v>
      </c>
      <c r="F3" s="8">
        <f>Inputs!$C$20</f>
        <v>300000000</v>
      </c>
      <c r="G3" s="8">
        <f>F3*Inputs!$C$19</f>
        <v>37500000</v>
      </c>
      <c r="H3" s="63">
        <f>G3/E3</f>
        <v>9.3280902003934969</v>
      </c>
      <c r="I3" s="8">
        <f>H3*V3</f>
        <v>18656180.400786992</v>
      </c>
      <c r="J3" s="69">
        <f>I3/F3</f>
        <v>6.2187268002623308E-2</v>
      </c>
      <c r="K3" s="69">
        <f>J3*12</f>
        <v>0.7462472160314797</v>
      </c>
      <c r="L3" s="58">
        <f>L2</f>
        <v>1340038.5</v>
      </c>
      <c r="M3" s="58"/>
      <c r="N3" s="58">
        <f>Inputs!$C$18</f>
        <v>3000000</v>
      </c>
      <c r="O3" s="58">
        <f>N3</f>
        <v>3000000</v>
      </c>
      <c r="P3" s="58"/>
      <c r="Q3" s="58">
        <f>Q2-V3-N3</f>
        <v>72639846</v>
      </c>
      <c r="R3" s="58">
        <f>R2</f>
        <v>10000000</v>
      </c>
      <c r="S3" s="58"/>
      <c r="T3" s="58">
        <f>T2</f>
        <v>7000000</v>
      </c>
      <c r="U3" s="58"/>
      <c r="V3" s="58">
        <f>Inputs!$C$16</f>
        <v>2000000</v>
      </c>
      <c r="W3" s="58">
        <f>V3</f>
        <v>2000000</v>
      </c>
      <c r="X3" s="44"/>
    </row>
    <row r="4" spans="1:24" x14ac:dyDescent="0.35">
      <c r="A4" s="47">
        <v>44165</v>
      </c>
      <c r="B4" s="51">
        <v>2</v>
      </c>
      <c r="C4" s="51">
        <v>1</v>
      </c>
      <c r="D4" s="54">
        <f t="shared" si="0"/>
        <v>100000000</v>
      </c>
      <c r="E4" s="58">
        <f t="shared" ref="E4:E26" si="1">E3+M4+P4+S4+U4+X4</f>
        <v>4020115.5</v>
      </c>
      <c r="F4" s="8">
        <f>F3*(1+Inputs!$C$21)</f>
        <v>360000000</v>
      </c>
      <c r="G4" s="8">
        <f>F4*Inputs!$C$19</f>
        <v>45000000</v>
      </c>
      <c r="H4" s="63">
        <f t="shared" ref="H4:H38" si="2">G4/E4</f>
        <v>11.193708240472196</v>
      </c>
      <c r="I4" s="8">
        <f t="shared" ref="I4:I38" si="3">H4*V4</f>
        <v>22387416.480944391</v>
      </c>
      <c r="J4" s="69">
        <f t="shared" ref="J4:J38" si="4">I4/F4</f>
        <v>6.2187268002623308E-2</v>
      </c>
      <c r="K4" s="69">
        <f t="shared" ref="K4:K38" si="5">J4*12</f>
        <v>0.7462472160314797</v>
      </c>
      <c r="L4" s="58">
        <f t="shared" ref="L4:L8" si="6">L3</f>
        <v>1340038.5</v>
      </c>
      <c r="M4" s="58"/>
      <c r="N4" s="58"/>
      <c r="O4" s="58">
        <f>O3+N4</f>
        <v>3000000</v>
      </c>
      <c r="P4" s="58"/>
      <c r="Q4" s="58">
        <f t="shared" ref="Q4:Q37" si="7">Q3-V4-N4</f>
        <v>70639846</v>
      </c>
      <c r="R4" s="58">
        <f t="shared" ref="R4:R14" si="8">R3</f>
        <v>10000000</v>
      </c>
      <c r="S4" s="58"/>
      <c r="T4" s="58">
        <f t="shared" ref="T4:T26" si="9">T3</f>
        <v>7000000</v>
      </c>
      <c r="U4" s="58"/>
      <c r="V4" s="58">
        <f>Inputs!$C$16</f>
        <v>2000000</v>
      </c>
      <c r="W4" s="58">
        <f>W3+V4</f>
        <v>4000000</v>
      </c>
      <c r="X4" s="44"/>
    </row>
    <row r="5" spans="1:24" x14ac:dyDescent="0.35">
      <c r="A5" s="47">
        <v>44196</v>
      </c>
      <c r="B5" s="51">
        <v>3</v>
      </c>
      <c r="C5" s="51">
        <v>1</v>
      </c>
      <c r="D5" s="54">
        <f t="shared" si="0"/>
        <v>100000000</v>
      </c>
      <c r="E5" s="58">
        <f t="shared" si="1"/>
        <v>4020115.5</v>
      </c>
      <c r="F5" s="8">
        <f>F4*(1+Inputs!$C$21)</f>
        <v>432000000</v>
      </c>
      <c r="G5" s="8">
        <f>F5*Inputs!$C$19</f>
        <v>54000000</v>
      </c>
      <c r="H5" s="63">
        <f t="shared" si="2"/>
        <v>13.432449888566634</v>
      </c>
      <c r="I5" s="8">
        <f t="shared" si="3"/>
        <v>26864899.777133267</v>
      </c>
      <c r="J5" s="69">
        <f t="shared" si="4"/>
        <v>6.2187268002623301E-2</v>
      </c>
      <c r="K5" s="69">
        <f t="shared" si="5"/>
        <v>0.74624721603147959</v>
      </c>
      <c r="L5" s="58">
        <f t="shared" si="6"/>
        <v>1340038.5</v>
      </c>
      <c r="M5" s="58"/>
      <c r="N5" s="58"/>
      <c r="O5" s="58">
        <f t="shared" ref="O5:O8" si="10">O4+N5</f>
        <v>3000000</v>
      </c>
      <c r="P5" s="58"/>
      <c r="Q5" s="58">
        <f t="shared" si="7"/>
        <v>68639846</v>
      </c>
      <c r="R5" s="58">
        <f t="shared" si="8"/>
        <v>10000000</v>
      </c>
      <c r="S5" s="58"/>
      <c r="T5" s="58">
        <f t="shared" si="9"/>
        <v>7000000</v>
      </c>
      <c r="U5" s="58"/>
      <c r="V5" s="58">
        <f>Inputs!$C$16</f>
        <v>2000000</v>
      </c>
      <c r="W5" s="58">
        <f t="shared" ref="W5:W14" si="11">W4+V5</f>
        <v>6000000</v>
      </c>
      <c r="X5" s="44"/>
    </row>
    <row r="6" spans="1:24" x14ac:dyDescent="0.35">
      <c r="A6" s="47">
        <v>44227</v>
      </c>
      <c r="B6" s="51">
        <v>4</v>
      </c>
      <c r="C6" s="51">
        <v>1</v>
      </c>
      <c r="D6" s="54">
        <f t="shared" si="0"/>
        <v>100000000</v>
      </c>
      <c r="E6" s="58">
        <f t="shared" si="1"/>
        <v>4020115.5</v>
      </c>
      <c r="F6" s="8">
        <f>F5*(1+Inputs!$C$21)</f>
        <v>518400000</v>
      </c>
      <c r="G6" s="8">
        <f>F6*Inputs!$C$19</f>
        <v>64800000</v>
      </c>
      <c r="H6" s="63">
        <f t="shared" si="2"/>
        <v>16.118939866279963</v>
      </c>
      <c r="I6" s="8">
        <f t="shared" si="3"/>
        <v>32237879.732559927</v>
      </c>
      <c r="J6" s="69">
        <f t="shared" si="4"/>
        <v>6.2187268002623315E-2</v>
      </c>
      <c r="K6" s="69">
        <f t="shared" si="5"/>
        <v>0.74624721603147981</v>
      </c>
      <c r="L6" s="58">
        <f t="shared" si="6"/>
        <v>1340038.5</v>
      </c>
      <c r="M6" s="58"/>
      <c r="N6" s="58"/>
      <c r="O6" s="58">
        <f t="shared" si="10"/>
        <v>3000000</v>
      </c>
      <c r="P6" s="58"/>
      <c r="Q6" s="58">
        <f t="shared" si="7"/>
        <v>66639846</v>
      </c>
      <c r="R6" s="58">
        <f t="shared" si="8"/>
        <v>10000000</v>
      </c>
      <c r="S6" s="58"/>
      <c r="T6" s="58">
        <f t="shared" si="9"/>
        <v>7000000</v>
      </c>
      <c r="U6" s="58"/>
      <c r="V6" s="58">
        <f>Inputs!$C$16</f>
        <v>2000000</v>
      </c>
      <c r="W6" s="58">
        <f t="shared" si="11"/>
        <v>8000000</v>
      </c>
      <c r="X6" s="44"/>
    </row>
    <row r="7" spans="1:24" x14ac:dyDescent="0.35">
      <c r="A7" s="47">
        <v>44255</v>
      </c>
      <c r="B7" s="51">
        <v>5</v>
      </c>
      <c r="C7" s="51">
        <v>1</v>
      </c>
      <c r="D7" s="54">
        <f t="shared" si="0"/>
        <v>100000000</v>
      </c>
      <c r="E7" s="58">
        <f t="shared" si="1"/>
        <v>4020115.5</v>
      </c>
      <c r="F7" s="8">
        <f>F6*(1+Inputs!$C$21)</f>
        <v>622080000</v>
      </c>
      <c r="G7" s="8">
        <f>F7*Inputs!$C$19</f>
        <v>77760000</v>
      </c>
      <c r="H7" s="63">
        <f t="shared" si="2"/>
        <v>19.342727839535954</v>
      </c>
      <c r="I7" s="8">
        <f t="shared" si="3"/>
        <v>38685455.679071911</v>
      </c>
      <c r="J7" s="69">
        <f t="shared" si="4"/>
        <v>6.2187268002623315E-2</v>
      </c>
      <c r="K7" s="69">
        <f t="shared" si="5"/>
        <v>0.74624721603147981</v>
      </c>
      <c r="L7" s="58">
        <f t="shared" si="6"/>
        <v>1340038.5</v>
      </c>
      <c r="M7" s="58"/>
      <c r="N7" s="58"/>
      <c r="O7" s="58">
        <f t="shared" si="10"/>
        <v>3000000</v>
      </c>
      <c r="P7" s="58"/>
      <c r="Q7" s="58">
        <f t="shared" si="7"/>
        <v>64639846</v>
      </c>
      <c r="R7" s="58">
        <f t="shared" si="8"/>
        <v>10000000</v>
      </c>
      <c r="S7" s="58"/>
      <c r="T7" s="58">
        <f t="shared" si="9"/>
        <v>7000000</v>
      </c>
      <c r="U7" s="58"/>
      <c r="V7" s="58">
        <f>Inputs!$C$16</f>
        <v>2000000</v>
      </c>
      <c r="W7" s="58">
        <f t="shared" si="11"/>
        <v>10000000</v>
      </c>
      <c r="X7" s="44"/>
    </row>
    <row r="8" spans="1:24" x14ac:dyDescent="0.35">
      <c r="A8" s="47">
        <v>44286</v>
      </c>
      <c r="B8" s="51">
        <v>6</v>
      </c>
      <c r="C8" s="51">
        <v>1</v>
      </c>
      <c r="D8" s="54">
        <f t="shared" si="0"/>
        <v>100000000</v>
      </c>
      <c r="E8" s="58">
        <f t="shared" si="1"/>
        <v>4020115.5</v>
      </c>
      <c r="F8" s="8">
        <f>F7*(1+Inputs!$C$21)</f>
        <v>746496000</v>
      </c>
      <c r="G8" s="8">
        <f>F8*Inputs!$C$19</f>
        <v>93312000</v>
      </c>
      <c r="H8" s="63">
        <f t="shared" si="2"/>
        <v>23.211273407443144</v>
      </c>
      <c r="I8" s="8">
        <f t="shared" si="3"/>
        <v>46422546.814886287</v>
      </c>
      <c r="J8" s="69">
        <f t="shared" si="4"/>
        <v>6.2187268002623308E-2</v>
      </c>
      <c r="K8" s="69">
        <f t="shared" si="5"/>
        <v>0.7462472160314797</v>
      </c>
      <c r="L8" s="61">
        <f t="shared" si="6"/>
        <v>1340038.5</v>
      </c>
      <c r="M8" s="58"/>
      <c r="N8" s="58"/>
      <c r="O8" s="58">
        <f t="shared" si="10"/>
        <v>3000000</v>
      </c>
      <c r="P8" s="58"/>
      <c r="Q8" s="58">
        <f t="shared" si="7"/>
        <v>62639846</v>
      </c>
      <c r="R8" s="58">
        <f t="shared" si="8"/>
        <v>10000000</v>
      </c>
      <c r="S8" s="58"/>
      <c r="T8" s="58">
        <f t="shared" si="9"/>
        <v>7000000</v>
      </c>
      <c r="U8" s="58"/>
      <c r="V8" s="58">
        <f>Inputs!$C$16</f>
        <v>2000000</v>
      </c>
      <c r="W8" s="58">
        <f t="shared" si="11"/>
        <v>12000000</v>
      </c>
      <c r="X8" s="44"/>
    </row>
    <row r="9" spans="1:24" x14ac:dyDescent="0.35">
      <c r="A9" s="47">
        <v>44316</v>
      </c>
      <c r="B9" s="51">
        <v>7</v>
      </c>
      <c r="C9" s="51">
        <v>1</v>
      </c>
      <c r="D9" s="54">
        <f t="shared" si="0"/>
        <v>100000000</v>
      </c>
      <c r="E9" s="58">
        <f t="shared" si="1"/>
        <v>5860154</v>
      </c>
      <c r="F9" s="8">
        <f>F8*(1+Inputs!$C$21)</f>
        <v>895795200</v>
      </c>
      <c r="G9" s="8">
        <f>F9*Inputs!$C$19</f>
        <v>111974400</v>
      </c>
      <c r="H9" s="63">
        <f t="shared" si="2"/>
        <v>19.107757236413924</v>
      </c>
      <c r="I9" s="8">
        <f t="shared" si="3"/>
        <v>38215514.472827852</v>
      </c>
      <c r="J9" s="69">
        <f>I9/F9</f>
        <v>4.2660994915833278E-2</v>
      </c>
      <c r="K9" s="69">
        <f t="shared" si="5"/>
        <v>0.51193193898999934</v>
      </c>
      <c r="L9" s="58">
        <f>L8-M9</f>
        <v>0</v>
      </c>
      <c r="M9" s="58">
        <f>L8</f>
        <v>1340038.5</v>
      </c>
      <c r="N9" s="58"/>
      <c r="O9" s="58">
        <f>O8-P9</f>
        <v>2500000</v>
      </c>
      <c r="P9" s="58">
        <v>500000</v>
      </c>
      <c r="Q9" s="58">
        <f t="shared" si="7"/>
        <v>60639846</v>
      </c>
      <c r="R9" s="58">
        <f t="shared" si="8"/>
        <v>10000000</v>
      </c>
      <c r="S9" s="58"/>
      <c r="T9" s="58">
        <f t="shared" si="9"/>
        <v>7000000</v>
      </c>
      <c r="U9" s="58"/>
      <c r="V9" s="58">
        <f>Inputs!$C$16</f>
        <v>2000000</v>
      </c>
      <c r="W9" s="58">
        <f t="shared" si="11"/>
        <v>14000000</v>
      </c>
      <c r="X9" s="44"/>
    </row>
    <row r="10" spans="1:24" x14ac:dyDescent="0.35">
      <c r="A10" s="47">
        <v>44347</v>
      </c>
      <c r="B10" s="51">
        <v>8</v>
      </c>
      <c r="C10" s="51">
        <v>1</v>
      </c>
      <c r="D10" s="54">
        <f t="shared" si="0"/>
        <v>100000000</v>
      </c>
      <c r="E10" s="58">
        <f t="shared" si="1"/>
        <v>6360154</v>
      </c>
      <c r="F10" s="8">
        <f>F9*(1+Inputs!$C$21)</f>
        <v>1074954240</v>
      </c>
      <c r="G10" s="8">
        <f>F10*Inputs!$C$19</f>
        <v>134369280</v>
      </c>
      <c r="H10" s="63">
        <f t="shared" si="2"/>
        <v>21.126733723743168</v>
      </c>
      <c r="I10" s="8">
        <f t="shared" si="3"/>
        <v>42253467.447486334</v>
      </c>
      <c r="J10" s="69">
        <f t="shared" si="4"/>
        <v>3.9307224321926792E-2</v>
      </c>
      <c r="K10" s="69">
        <f t="shared" si="5"/>
        <v>0.47168669186312151</v>
      </c>
      <c r="L10" s="58"/>
      <c r="M10" s="58"/>
      <c r="N10" s="58"/>
      <c r="O10" s="58">
        <f t="shared" ref="O10:O14" si="12">O9-P10</f>
        <v>2000000</v>
      </c>
      <c r="P10" s="58">
        <v>500000</v>
      </c>
      <c r="Q10" s="58">
        <f t="shared" si="7"/>
        <v>58639846</v>
      </c>
      <c r="R10" s="58">
        <f t="shared" si="8"/>
        <v>10000000</v>
      </c>
      <c r="S10" s="58"/>
      <c r="T10" s="58">
        <f t="shared" si="9"/>
        <v>7000000</v>
      </c>
      <c r="U10" s="58"/>
      <c r="V10" s="58">
        <f>Inputs!$C$16</f>
        <v>2000000</v>
      </c>
      <c r="W10" s="58">
        <f t="shared" si="11"/>
        <v>16000000</v>
      </c>
      <c r="X10" s="44"/>
    </row>
    <row r="11" spans="1:24" x14ac:dyDescent="0.35">
      <c r="A11" s="47">
        <v>44377</v>
      </c>
      <c r="B11" s="51">
        <v>9</v>
      </c>
      <c r="C11" s="51">
        <v>1</v>
      </c>
      <c r="D11" s="54">
        <f t="shared" si="0"/>
        <v>100000000</v>
      </c>
      <c r="E11" s="58">
        <f t="shared" si="1"/>
        <v>6860154</v>
      </c>
      <c r="F11" s="8">
        <f>F10*(1+Inputs!$C$21)</f>
        <v>1289945088</v>
      </c>
      <c r="G11" s="8">
        <f>F11*Inputs!$C$19</f>
        <v>161243136</v>
      </c>
      <c r="H11" s="63">
        <f t="shared" si="2"/>
        <v>23.504302673088681</v>
      </c>
      <c r="I11" s="8">
        <f t="shared" si="3"/>
        <v>47008605.346177362</v>
      </c>
      <c r="J11" s="69">
        <f t="shared" si="4"/>
        <v>3.6442330594910845E-2</v>
      </c>
      <c r="K11" s="69">
        <f t="shared" si="5"/>
        <v>0.43730796713893016</v>
      </c>
      <c r="L11" s="58"/>
      <c r="M11" s="58"/>
      <c r="N11" s="58"/>
      <c r="O11" s="58">
        <f t="shared" si="12"/>
        <v>1500000</v>
      </c>
      <c r="P11" s="58">
        <v>500000</v>
      </c>
      <c r="Q11" s="58">
        <f t="shared" si="7"/>
        <v>56639846</v>
      </c>
      <c r="R11" s="58">
        <f t="shared" si="8"/>
        <v>10000000</v>
      </c>
      <c r="S11" s="58"/>
      <c r="T11" s="58">
        <f t="shared" si="9"/>
        <v>7000000</v>
      </c>
      <c r="U11" s="58"/>
      <c r="V11" s="58">
        <f>Inputs!$C$16</f>
        <v>2000000</v>
      </c>
      <c r="W11" s="58">
        <f t="shared" si="11"/>
        <v>18000000</v>
      </c>
      <c r="X11" s="44"/>
    </row>
    <row r="12" spans="1:24" x14ac:dyDescent="0.35">
      <c r="A12" s="47">
        <v>44408</v>
      </c>
      <c r="B12" s="51">
        <v>10</v>
      </c>
      <c r="C12" s="51">
        <v>1</v>
      </c>
      <c r="D12" s="54">
        <f t="shared" si="0"/>
        <v>100000000</v>
      </c>
      <c r="E12" s="58">
        <f t="shared" si="1"/>
        <v>7360154</v>
      </c>
      <c r="F12" s="8">
        <f>F11*(1+Inputs!$C$21)</f>
        <v>1547934105.5999999</v>
      </c>
      <c r="G12" s="8">
        <f>F12*Inputs!$C$19</f>
        <v>193491763.19999999</v>
      </c>
      <c r="H12" s="63">
        <f t="shared" si="2"/>
        <v>26.289091668462369</v>
      </c>
      <c r="I12" s="8">
        <f t="shared" si="3"/>
        <v>52578183.336924739</v>
      </c>
      <c r="J12" s="69">
        <f t="shared" si="4"/>
        <v>3.3966680588476815E-2</v>
      </c>
      <c r="K12" s="69">
        <f t="shared" si="5"/>
        <v>0.40760016706172175</v>
      </c>
      <c r="L12" s="58"/>
      <c r="M12" s="58"/>
      <c r="N12" s="58"/>
      <c r="O12" s="58">
        <f t="shared" si="12"/>
        <v>1000000</v>
      </c>
      <c r="P12" s="58">
        <v>500000</v>
      </c>
      <c r="Q12" s="58">
        <f t="shared" si="7"/>
        <v>54639846</v>
      </c>
      <c r="R12" s="58">
        <f t="shared" si="8"/>
        <v>10000000</v>
      </c>
      <c r="S12" s="58"/>
      <c r="T12" s="58">
        <f t="shared" si="9"/>
        <v>7000000</v>
      </c>
      <c r="U12" s="58"/>
      <c r="V12" s="58">
        <f>Inputs!$C$16</f>
        <v>2000000</v>
      </c>
      <c r="W12" s="58">
        <f t="shared" si="11"/>
        <v>20000000</v>
      </c>
      <c r="X12" s="44"/>
    </row>
    <row r="13" spans="1:24" x14ac:dyDescent="0.35">
      <c r="A13" s="47">
        <v>44439</v>
      </c>
      <c r="B13" s="51">
        <v>11</v>
      </c>
      <c r="C13" s="51">
        <v>1</v>
      </c>
      <c r="D13" s="54">
        <f t="shared" si="0"/>
        <v>100000000</v>
      </c>
      <c r="E13" s="58">
        <f t="shared" si="1"/>
        <v>7860154</v>
      </c>
      <c r="F13" s="8">
        <f>F12*(1+Inputs!$C$21)</f>
        <v>1857520926.7199998</v>
      </c>
      <c r="G13" s="8">
        <f>F13*Inputs!$C$19</f>
        <v>232190115.83999997</v>
      </c>
      <c r="H13" s="63">
        <f t="shared" si="2"/>
        <v>29.540148429661809</v>
      </c>
      <c r="I13" s="8">
        <f t="shared" si="3"/>
        <v>59080296.859323621</v>
      </c>
      <c r="J13" s="69">
        <f t="shared" si="4"/>
        <v>3.1805992605233945E-2</v>
      </c>
      <c r="K13" s="69">
        <f t="shared" si="5"/>
        <v>0.38167191126280731</v>
      </c>
      <c r="L13" s="58"/>
      <c r="M13" s="58"/>
      <c r="N13" s="58"/>
      <c r="O13" s="58">
        <f t="shared" si="12"/>
        <v>500000</v>
      </c>
      <c r="P13" s="58">
        <v>500000</v>
      </c>
      <c r="Q13" s="58">
        <f t="shared" si="7"/>
        <v>52639846</v>
      </c>
      <c r="R13" s="58">
        <f t="shared" si="8"/>
        <v>10000000</v>
      </c>
      <c r="S13" s="58"/>
      <c r="T13" s="58">
        <f t="shared" si="9"/>
        <v>7000000</v>
      </c>
      <c r="U13" s="58"/>
      <c r="V13" s="58">
        <f>Inputs!$C$16</f>
        <v>2000000</v>
      </c>
      <c r="W13" s="58">
        <f t="shared" si="11"/>
        <v>22000000</v>
      </c>
      <c r="X13" s="44"/>
    </row>
    <row r="14" spans="1:24" x14ac:dyDescent="0.35">
      <c r="A14" s="48">
        <v>44469</v>
      </c>
      <c r="B14" s="52">
        <v>12</v>
      </c>
      <c r="C14" s="52">
        <v>1</v>
      </c>
      <c r="D14" s="55">
        <f t="shared" si="0"/>
        <v>100000000</v>
      </c>
      <c r="E14" s="59">
        <f t="shared" si="1"/>
        <v>8360154</v>
      </c>
      <c r="F14" s="66">
        <f>F13*(1+Inputs!$C$21)</f>
        <v>2229025112.0639997</v>
      </c>
      <c r="G14" s="66">
        <f>F14*Inputs!$C$19</f>
        <v>278628139.00799996</v>
      </c>
      <c r="H14" s="67">
        <f t="shared" si="2"/>
        <v>33.328110822838902</v>
      </c>
      <c r="I14" s="66">
        <f t="shared" si="3"/>
        <v>66656221.645677805</v>
      </c>
      <c r="J14" s="70">
        <f t="shared" si="4"/>
        <v>2.9903755361444299E-2</v>
      </c>
      <c r="K14" s="70">
        <f t="shared" si="5"/>
        <v>0.3588450643373316</v>
      </c>
      <c r="L14" s="59"/>
      <c r="M14" s="59"/>
      <c r="N14" s="59"/>
      <c r="O14" s="59">
        <f t="shared" si="12"/>
        <v>0</v>
      </c>
      <c r="P14" s="59">
        <v>500000</v>
      </c>
      <c r="Q14" s="59">
        <f t="shared" si="7"/>
        <v>50639846</v>
      </c>
      <c r="R14" s="59">
        <f t="shared" si="8"/>
        <v>10000000</v>
      </c>
      <c r="S14" s="59"/>
      <c r="T14" s="59">
        <f t="shared" si="9"/>
        <v>7000000</v>
      </c>
      <c r="U14" s="59"/>
      <c r="V14" s="59">
        <f>Inputs!$C$16</f>
        <v>2000000</v>
      </c>
      <c r="W14" s="59">
        <f t="shared" si="11"/>
        <v>24000000</v>
      </c>
      <c r="X14" s="45"/>
    </row>
    <row r="15" spans="1:24" x14ac:dyDescent="0.35">
      <c r="A15" s="47">
        <v>44500</v>
      </c>
      <c r="B15" s="51">
        <v>13</v>
      </c>
      <c r="C15" s="51">
        <v>2</v>
      </c>
      <c r="D15" s="54">
        <f>E15+Q15+R15+T27+W15+L15+O15</f>
        <v>100000000.00000001</v>
      </c>
      <c r="E15" s="58">
        <f>E14+M15+P15+S15+U27+X15</f>
        <v>11776820.666666668</v>
      </c>
      <c r="F15" s="8">
        <f>F14*(1+Inputs!$C$22)</f>
        <v>2340476367.6671996</v>
      </c>
      <c r="G15" s="8">
        <f>F15*Inputs!$C$19</f>
        <v>292559545.95839995</v>
      </c>
      <c r="H15" s="63">
        <f>G15/E15</f>
        <v>24.841980211727765</v>
      </c>
      <c r="I15" s="8">
        <f t="shared" si="3"/>
        <v>0</v>
      </c>
      <c r="J15" s="69">
        <f t="shared" si="4"/>
        <v>0</v>
      </c>
      <c r="K15" s="69">
        <f t="shared" si="5"/>
        <v>0</v>
      </c>
      <c r="L15" s="62"/>
      <c r="M15" s="62"/>
      <c r="N15" s="62"/>
      <c r="O15" s="62"/>
      <c r="P15" s="62"/>
      <c r="Q15" s="58">
        <f t="shared" si="7"/>
        <v>50639846</v>
      </c>
      <c r="R15" s="62">
        <f>R14-S15</f>
        <v>9166666.666666666</v>
      </c>
      <c r="S15" s="7">
        <f>R14/12</f>
        <v>833333.33333333337</v>
      </c>
      <c r="T15" s="58">
        <f>T14</f>
        <v>7000000</v>
      </c>
      <c r="U15" s="21"/>
      <c r="V15" s="58"/>
      <c r="W15" s="58">
        <f>W14+V15-X15</f>
        <v>22000000</v>
      </c>
      <c r="X15" s="44">
        <f>V3</f>
        <v>2000000</v>
      </c>
    </row>
    <row r="16" spans="1:24" x14ac:dyDescent="0.35">
      <c r="A16" s="47">
        <v>44530</v>
      </c>
      <c r="B16" s="51">
        <v>14</v>
      </c>
      <c r="C16" s="51">
        <v>2</v>
      </c>
      <c r="D16" s="54">
        <f>E16+Q16+R16+T28+W16+L16+O16</f>
        <v>100000000</v>
      </c>
      <c r="E16" s="58">
        <f>E15+M16+P16+S16+U28+X16</f>
        <v>15193487.333333336</v>
      </c>
      <c r="F16" s="8">
        <f>F15*(1+Inputs!$C$22)</f>
        <v>2457500186.0505595</v>
      </c>
      <c r="G16" s="8">
        <f>F16*Inputs!$C$19</f>
        <v>307187523.25631994</v>
      </c>
      <c r="H16" s="63">
        <f t="shared" si="2"/>
        <v>20.218368338806211</v>
      </c>
      <c r="I16" s="8">
        <f t="shared" si="3"/>
        <v>0</v>
      </c>
      <c r="J16" s="69">
        <f t="shared" si="4"/>
        <v>0</v>
      </c>
      <c r="K16" s="69">
        <f t="shared" si="5"/>
        <v>0</v>
      </c>
      <c r="L16" s="62"/>
      <c r="M16" s="62"/>
      <c r="N16" s="62"/>
      <c r="O16" s="62"/>
      <c r="P16" s="62"/>
      <c r="Q16" s="58">
        <f t="shared" si="7"/>
        <v>50639846</v>
      </c>
      <c r="R16" s="62">
        <f t="shared" ref="R16:R26" si="13">R15-S16</f>
        <v>8333333.333333333</v>
      </c>
      <c r="S16" s="62">
        <f>S15</f>
        <v>833333.33333333337</v>
      </c>
      <c r="T16" s="58">
        <f t="shared" si="9"/>
        <v>7000000</v>
      </c>
      <c r="U16" s="21"/>
      <c r="V16" s="58"/>
      <c r="W16" s="58">
        <f t="shared" ref="W16:W26" si="14">W15+V16-X16</f>
        <v>20000000</v>
      </c>
      <c r="X16" s="44">
        <f t="shared" ref="X16:X26" si="15">V4</f>
        <v>2000000</v>
      </c>
    </row>
    <row r="17" spans="1:24" x14ac:dyDescent="0.35">
      <c r="A17" s="47">
        <v>44561</v>
      </c>
      <c r="B17" s="51">
        <v>15</v>
      </c>
      <c r="C17" s="51">
        <v>2</v>
      </c>
      <c r="D17" s="54">
        <f>E17+Q17+R17+T29+W17+L17+O17</f>
        <v>100000000</v>
      </c>
      <c r="E17" s="58">
        <f>E16+M17+P17+S17+U29+X17</f>
        <v>18610154.000000004</v>
      </c>
      <c r="F17" s="8">
        <f>F16*(1+Inputs!$C$22)</f>
        <v>2580375195.3530874</v>
      </c>
      <c r="G17" s="8">
        <f>F17*Inputs!$C$19</f>
        <v>322546899.41913593</v>
      </c>
      <c r="H17" s="63">
        <f t="shared" si="2"/>
        <v>17.331769496326352</v>
      </c>
      <c r="I17" s="8">
        <f t="shared" si="3"/>
        <v>0</v>
      </c>
      <c r="J17" s="69">
        <f t="shared" si="4"/>
        <v>0</v>
      </c>
      <c r="K17" s="69">
        <f t="shared" si="5"/>
        <v>0</v>
      </c>
      <c r="L17" s="62"/>
      <c r="M17" s="62"/>
      <c r="N17" s="62"/>
      <c r="O17" s="62"/>
      <c r="P17" s="62"/>
      <c r="Q17" s="58">
        <f t="shared" si="7"/>
        <v>50639846</v>
      </c>
      <c r="R17" s="62">
        <f t="shared" si="13"/>
        <v>7500000</v>
      </c>
      <c r="S17" s="62">
        <f t="shared" ref="S17:S26" si="16">S16</f>
        <v>833333.33333333337</v>
      </c>
      <c r="T17" s="58">
        <f t="shared" si="9"/>
        <v>7000000</v>
      </c>
      <c r="U17" s="21"/>
      <c r="V17" s="58"/>
      <c r="W17" s="58">
        <f t="shared" si="14"/>
        <v>18000000</v>
      </c>
      <c r="X17" s="44">
        <f t="shared" si="15"/>
        <v>2000000</v>
      </c>
    </row>
    <row r="18" spans="1:24" x14ac:dyDescent="0.35">
      <c r="A18" s="47">
        <v>44592</v>
      </c>
      <c r="B18" s="51">
        <v>16</v>
      </c>
      <c r="C18" s="51">
        <v>2</v>
      </c>
      <c r="D18" s="54">
        <f>E18+Q18+R18+T30+W18+L18+O18</f>
        <v>100000000.00000001</v>
      </c>
      <c r="E18" s="58">
        <f>E17+M18+P18+S18+U30+X18</f>
        <v>22026820.666666668</v>
      </c>
      <c r="F18" s="8">
        <f>F17*(1+Inputs!$C$22)</f>
        <v>2709393955.1207418</v>
      </c>
      <c r="G18" s="8">
        <f>F18*Inputs!$C$19</f>
        <v>338674244.39009273</v>
      </c>
      <c r="H18" s="63">
        <f t="shared" si="2"/>
        <v>15.375539189939049</v>
      </c>
      <c r="I18" s="8">
        <f t="shared" si="3"/>
        <v>0</v>
      </c>
      <c r="J18" s="69">
        <f t="shared" si="4"/>
        <v>0</v>
      </c>
      <c r="K18" s="69">
        <f t="shared" si="5"/>
        <v>0</v>
      </c>
      <c r="L18" s="62"/>
      <c r="M18" s="62"/>
      <c r="N18" s="62"/>
      <c r="O18" s="62"/>
      <c r="P18" s="62"/>
      <c r="Q18" s="58">
        <f t="shared" si="7"/>
        <v>50639846</v>
      </c>
      <c r="R18" s="62">
        <f t="shared" si="13"/>
        <v>6666666.666666667</v>
      </c>
      <c r="S18" s="62">
        <f t="shared" si="16"/>
        <v>833333.33333333337</v>
      </c>
      <c r="T18" s="58">
        <f t="shared" si="9"/>
        <v>7000000</v>
      </c>
      <c r="U18" s="21"/>
      <c r="V18" s="58"/>
      <c r="W18" s="58">
        <f t="shared" si="14"/>
        <v>16000000</v>
      </c>
      <c r="X18" s="44">
        <f t="shared" si="15"/>
        <v>2000000</v>
      </c>
    </row>
    <row r="19" spans="1:24" x14ac:dyDescent="0.35">
      <c r="A19" s="47">
        <v>44620</v>
      </c>
      <c r="B19" s="51">
        <v>17</v>
      </c>
      <c r="C19" s="51">
        <v>2</v>
      </c>
      <c r="D19" s="54">
        <f>E19+Q19+R19+T31+W19+L19+O19</f>
        <v>99999999.999999985</v>
      </c>
      <c r="E19" s="58">
        <f>E18+M19+P19+S19+U31+X19</f>
        <v>25443487.333333332</v>
      </c>
      <c r="F19" s="8">
        <f>F18*(1+Inputs!$C$22)</f>
        <v>2844863652.8767791</v>
      </c>
      <c r="G19" s="8">
        <f>F19*Inputs!$C$19</f>
        <v>355607956.60959738</v>
      </c>
      <c r="H19" s="63">
        <f t="shared" si="2"/>
        <v>13.976384288474399</v>
      </c>
      <c r="I19" s="8">
        <f t="shared" si="3"/>
        <v>0</v>
      </c>
      <c r="J19" s="69">
        <f t="shared" si="4"/>
        <v>0</v>
      </c>
      <c r="K19" s="69">
        <f t="shared" si="5"/>
        <v>0</v>
      </c>
      <c r="L19" s="62"/>
      <c r="M19" s="62"/>
      <c r="N19" s="62"/>
      <c r="O19" s="62"/>
      <c r="P19" s="62"/>
      <c r="Q19" s="58">
        <f t="shared" si="7"/>
        <v>50639846</v>
      </c>
      <c r="R19" s="62">
        <f t="shared" si="13"/>
        <v>5833333.333333334</v>
      </c>
      <c r="S19" s="62">
        <f t="shared" si="16"/>
        <v>833333.33333333337</v>
      </c>
      <c r="T19" s="58">
        <f t="shared" si="9"/>
        <v>7000000</v>
      </c>
      <c r="U19" s="21"/>
      <c r="V19" s="58"/>
      <c r="W19" s="58">
        <f t="shared" si="14"/>
        <v>14000000</v>
      </c>
      <c r="X19" s="44">
        <f t="shared" si="15"/>
        <v>2000000</v>
      </c>
    </row>
    <row r="20" spans="1:24" x14ac:dyDescent="0.35">
      <c r="A20" s="47">
        <v>44651</v>
      </c>
      <c r="B20" s="51">
        <v>18</v>
      </c>
      <c r="C20" s="51">
        <v>2</v>
      </c>
      <c r="D20" s="54">
        <f>E20+Q20+R20+T32+W20+L20+O20</f>
        <v>100000000</v>
      </c>
      <c r="E20" s="58">
        <f>E19+M20+P20+S20+U32+X20</f>
        <v>28860153.999999996</v>
      </c>
      <c r="F20" s="8">
        <f>F19*(1+Inputs!$C$22)</f>
        <v>2987106835.520618</v>
      </c>
      <c r="G20" s="8">
        <f>F20*Inputs!$C$19</f>
        <v>373388354.44007725</v>
      </c>
      <c r="H20" s="63">
        <f t="shared" si="2"/>
        <v>12.93785038153564</v>
      </c>
      <c r="I20" s="8">
        <f t="shared" si="3"/>
        <v>0</v>
      </c>
      <c r="J20" s="69">
        <f t="shared" si="4"/>
        <v>0</v>
      </c>
      <c r="K20" s="69">
        <f t="shared" si="5"/>
        <v>0</v>
      </c>
      <c r="L20" s="62"/>
      <c r="M20" s="62"/>
      <c r="N20" s="62"/>
      <c r="O20" s="62"/>
      <c r="P20" s="62"/>
      <c r="Q20" s="58">
        <f t="shared" si="7"/>
        <v>50639846</v>
      </c>
      <c r="R20" s="62">
        <f t="shared" si="13"/>
        <v>5000000.0000000009</v>
      </c>
      <c r="S20" s="62">
        <f t="shared" si="16"/>
        <v>833333.33333333337</v>
      </c>
      <c r="T20" s="58">
        <f t="shared" si="9"/>
        <v>7000000</v>
      </c>
      <c r="U20" s="21"/>
      <c r="V20" s="58"/>
      <c r="W20" s="58">
        <f t="shared" si="14"/>
        <v>12000000</v>
      </c>
      <c r="X20" s="44">
        <f t="shared" si="15"/>
        <v>2000000</v>
      </c>
    </row>
    <row r="21" spans="1:24" x14ac:dyDescent="0.35">
      <c r="A21" s="47">
        <v>44681</v>
      </c>
      <c r="B21" s="51">
        <v>19</v>
      </c>
      <c r="C21" s="51">
        <v>2</v>
      </c>
      <c r="D21" s="54">
        <f>E21+Q21+R21+T33+W21+L21+O21</f>
        <v>100000000</v>
      </c>
      <c r="E21" s="58">
        <f>E20+M21+P21+S21+U33+X21</f>
        <v>32276820.66666666</v>
      </c>
      <c r="F21" s="8">
        <f>F20*(1+Inputs!$C$22)</f>
        <v>3136462177.296649</v>
      </c>
      <c r="G21" s="8">
        <f>F21*Inputs!$C$19</f>
        <v>392057772.16208112</v>
      </c>
      <c r="H21" s="63">
        <f t="shared" si="2"/>
        <v>12.146728335203477</v>
      </c>
      <c r="I21" s="8">
        <f t="shared" si="3"/>
        <v>0</v>
      </c>
      <c r="J21" s="69">
        <f t="shared" si="4"/>
        <v>0</v>
      </c>
      <c r="K21" s="69">
        <f t="shared" si="5"/>
        <v>0</v>
      </c>
      <c r="L21" s="62"/>
      <c r="M21" s="62"/>
      <c r="N21" s="62"/>
      <c r="O21" s="62"/>
      <c r="P21" s="62"/>
      <c r="Q21" s="58">
        <f t="shared" si="7"/>
        <v>50639846</v>
      </c>
      <c r="R21" s="62">
        <f t="shared" si="13"/>
        <v>4166666.6666666674</v>
      </c>
      <c r="S21" s="62">
        <f t="shared" si="16"/>
        <v>833333.33333333337</v>
      </c>
      <c r="T21" s="58">
        <f t="shared" si="9"/>
        <v>7000000</v>
      </c>
      <c r="U21" s="21"/>
      <c r="V21" s="58"/>
      <c r="W21" s="58">
        <f t="shared" si="14"/>
        <v>10000000</v>
      </c>
      <c r="X21" s="44">
        <f t="shared" si="15"/>
        <v>2000000</v>
      </c>
    </row>
    <row r="22" spans="1:24" x14ac:dyDescent="0.35">
      <c r="A22" s="47">
        <v>44712</v>
      </c>
      <c r="B22" s="51">
        <v>20</v>
      </c>
      <c r="C22" s="51">
        <v>2</v>
      </c>
      <c r="D22" s="54">
        <f>E22+Q22+R22+T34+W22+L22+O22</f>
        <v>99999999.999999985</v>
      </c>
      <c r="E22" s="58">
        <f>E21+M22+P22+S22+U34+X22</f>
        <v>35693487.333333328</v>
      </c>
      <c r="F22" s="8">
        <f>F21*(1+Inputs!$C$22)</f>
        <v>3293285286.1614814</v>
      </c>
      <c r="G22" s="8">
        <f>F22*Inputs!$C$19</f>
        <v>411660660.77018517</v>
      </c>
      <c r="H22" s="63">
        <f t="shared" si="2"/>
        <v>11.533214923097322</v>
      </c>
      <c r="I22" s="8">
        <f t="shared" si="3"/>
        <v>0</v>
      </c>
      <c r="J22" s="69">
        <f t="shared" si="4"/>
        <v>0</v>
      </c>
      <c r="K22" s="69">
        <f t="shared" si="5"/>
        <v>0</v>
      </c>
      <c r="L22" s="62"/>
      <c r="M22" s="62"/>
      <c r="N22" s="62"/>
      <c r="O22" s="62"/>
      <c r="P22" s="62"/>
      <c r="Q22" s="58">
        <f t="shared" si="7"/>
        <v>50639846</v>
      </c>
      <c r="R22" s="62">
        <f t="shared" si="13"/>
        <v>3333333.333333334</v>
      </c>
      <c r="S22" s="62">
        <f t="shared" si="16"/>
        <v>833333.33333333337</v>
      </c>
      <c r="T22" s="58">
        <f t="shared" si="9"/>
        <v>7000000</v>
      </c>
      <c r="U22" s="21"/>
      <c r="V22" s="58"/>
      <c r="W22" s="58">
        <f t="shared" si="14"/>
        <v>8000000</v>
      </c>
      <c r="X22" s="44">
        <f t="shared" si="15"/>
        <v>2000000</v>
      </c>
    </row>
    <row r="23" spans="1:24" x14ac:dyDescent="0.35">
      <c r="A23" s="47">
        <v>44742</v>
      </c>
      <c r="B23" s="51">
        <v>21</v>
      </c>
      <c r="C23" s="51">
        <v>2</v>
      </c>
      <c r="D23" s="54">
        <f>E23+Q23+R23+T35+W23+L23+O23</f>
        <v>100000000</v>
      </c>
      <c r="E23" s="58">
        <f>E22+M23+P23+S23+U35+X23</f>
        <v>39110154</v>
      </c>
      <c r="F23" s="8">
        <f>F22*(1+Inputs!$C$22)</f>
        <v>3457949550.4695554</v>
      </c>
      <c r="G23" s="8">
        <f>F23*Inputs!$C$19</f>
        <v>432243693.80869442</v>
      </c>
      <c r="H23" s="63">
        <f t="shared" si="2"/>
        <v>11.051955812004586</v>
      </c>
      <c r="I23" s="8">
        <f t="shared" si="3"/>
        <v>0</v>
      </c>
      <c r="J23" s="69">
        <f t="shared" si="4"/>
        <v>0</v>
      </c>
      <c r="K23" s="69">
        <f t="shared" si="5"/>
        <v>0</v>
      </c>
      <c r="L23" s="62"/>
      <c r="M23" s="62"/>
      <c r="N23" s="62"/>
      <c r="O23" s="62"/>
      <c r="P23" s="62"/>
      <c r="Q23" s="58">
        <f t="shared" si="7"/>
        <v>50639846</v>
      </c>
      <c r="R23" s="62">
        <f t="shared" si="13"/>
        <v>2500000.0000000005</v>
      </c>
      <c r="S23" s="62">
        <f t="shared" si="16"/>
        <v>833333.33333333337</v>
      </c>
      <c r="T23" s="58">
        <f t="shared" si="9"/>
        <v>7000000</v>
      </c>
      <c r="U23" s="21"/>
      <c r="V23" s="58"/>
      <c r="W23" s="58">
        <f t="shared" si="14"/>
        <v>6000000</v>
      </c>
      <c r="X23" s="44">
        <f t="shared" si="15"/>
        <v>2000000</v>
      </c>
    </row>
    <row r="24" spans="1:24" x14ac:dyDescent="0.35">
      <c r="A24" s="47">
        <v>44773</v>
      </c>
      <c r="B24" s="51">
        <v>22</v>
      </c>
      <c r="C24" s="51">
        <v>2</v>
      </c>
      <c r="D24" s="54">
        <f>E24+Q24+R24+T36+W24+L24+O24</f>
        <v>100000000.00000001</v>
      </c>
      <c r="E24" s="58">
        <f>E23+M24+P24+S24+U36+X24</f>
        <v>42526820.666666672</v>
      </c>
      <c r="F24" s="8">
        <f>F23*(1+Inputs!$C$22)</f>
        <v>3630847027.9930334</v>
      </c>
      <c r="G24" s="8">
        <f>F24*Inputs!$C$19</f>
        <v>453855878.49912918</v>
      </c>
      <c r="H24" s="63">
        <f t="shared" si="2"/>
        <v>10.672226876693607</v>
      </c>
      <c r="I24" s="8">
        <f t="shared" si="3"/>
        <v>0</v>
      </c>
      <c r="J24" s="69">
        <f t="shared" si="4"/>
        <v>0</v>
      </c>
      <c r="K24" s="69">
        <f t="shared" si="5"/>
        <v>0</v>
      </c>
      <c r="L24" s="62"/>
      <c r="M24" s="62"/>
      <c r="N24" s="62"/>
      <c r="O24" s="62"/>
      <c r="P24" s="62"/>
      <c r="Q24" s="58">
        <f t="shared" si="7"/>
        <v>50639846</v>
      </c>
      <c r="R24" s="62">
        <f t="shared" si="13"/>
        <v>1666666.666666667</v>
      </c>
      <c r="S24" s="62">
        <f t="shared" si="16"/>
        <v>833333.33333333337</v>
      </c>
      <c r="T24" s="58">
        <f t="shared" si="9"/>
        <v>7000000</v>
      </c>
      <c r="U24" s="21"/>
      <c r="V24" s="58"/>
      <c r="W24" s="58">
        <f t="shared" si="14"/>
        <v>4000000</v>
      </c>
      <c r="X24" s="44">
        <f t="shared" si="15"/>
        <v>2000000</v>
      </c>
    </row>
    <row r="25" spans="1:24" x14ac:dyDescent="0.35">
      <c r="A25" s="47">
        <v>44804</v>
      </c>
      <c r="B25" s="51">
        <v>23</v>
      </c>
      <c r="C25" s="51">
        <v>2</v>
      </c>
      <c r="D25" s="54">
        <f>E25+Q25+R25+T37+W25+L25+O25</f>
        <v>100000000</v>
      </c>
      <c r="E25" s="58">
        <f>E24+M25+P25+S25+U37+X25</f>
        <v>45943487.333333343</v>
      </c>
      <c r="F25" s="8">
        <f>F24*(1+Inputs!$C$22)</f>
        <v>3812389379.3926854</v>
      </c>
      <c r="G25" s="8">
        <f>F25*Inputs!$C$19</f>
        <v>476548672.42408568</v>
      </c>
      <c r="H25" s="63">
        <f t="shared" si="2"/>
        <v>10.372496736405459</v>
      </c>
      <c r="I25" s="8">
        <f t="shared" si="3"/>
        <v>0</v>
      </c>
      <c r="J25" s="69">
        <f t="shared" si="4"/>
        <v>0</v>
      </c>
      <c r="K25" s="69">
        <f t="shared" si="5"/>
        <v>0</v>
      </c>
      <c r="L25" s="62"/>
      <c r="M25" s="62"/>
      <c r="N25" s="62"/>
      <c r="O25" s="62"/>
      <c r="P25" s="62"/>
      <c r="Q25" s="58">
        <f t="shared" si="7"/>
        <v>50639846</v>
      </c>
      <c r="R25" s="62">
        <f t="shared" si="13"/>
        <v>833333.3333333336</v>
      </c>
      <c r="S25" s="62">
        <f t="shared" si="16"/>
        <v>833333.33333333337</v>
      </c>
      <c r="T25" s="58">
        <f t="shared" si="9"/>
        <v>7000000</v>
      </c>
      <c r="U25" s="21"/>
      <c r="V25" s="58"/>
      <c r="W25" s="58">
        <f t="shared" si="14"/>
        <v>2000000</v>
      </c>
      <c r="X25" s="44">
        <f t="shared" si="15"/>
        <v>2000000</v>
      </c>
    </row>
    <row r="26" spans="1:24" x14ac:dyDescent="0.35">
      <c r="A26" s="48">
        <v>44834</v>
      </c>
      <c r="B26" s="52">
        <v>24</v>
      </c>
      <c r="C26" s="52">
        <v>2</v>
      </c>
      <c r="D26" s="55">
        <f>E26+Q26+R26+T38+W26+L26+O26</f>
        <v>100000000.00000001</v>
      </c>
      <c r="E26" s="59">
        <f>E25+M26+P26+S26+U38+X26</f>
        <v>49360154.000000015</v>
      </c>
      <c r="F26" s="66">
        <f>F25*(1+Inputs!$C$22)</f>
        <v>4003008848.3623199</v>
      </c>
      <c r="G26" s="66">
        <f>F26*Inputs!$C$19</f>
        <v>500376106.04528999</v>
      </c>
      <c r="H26" s="67">
        <f t="shared" si="2"/>
        <v>10.1372476683377</v>
      </c>
      <c r="I26" s="66">
        <f t="shared" si="3"/>
        <v>0</v>
      </c>
      <c r="J26" s="70">
        <f t="shared" si="4"/>
        <v>0</v>
      </c>
      <c r="K26" s="70">
        <f t="shared" si="5"/>
        <v>0</v>
      </c>
      <c r="L26" s="107"/>
      <c r="M26" s="107"/>
      <c r="N26" s="107"/>
      <c r="O26" s="107"/>
      <c r="P26" s="107"/>
      <c r="Q26" s="59">
        <f>Q25-V26-N26</f>
        <v>50639846</v>
      </c>
      <c r="R26" s="107">
        <f t="shared" si="13"/>
        <v>0</v>
      </c>
      <c r="S26" s="107">
        <f t="shared" si="16"/>
        <v>833333.33333333337</v>
      </c>
      <c r="T26" s="59">
        <f t="shared" si="9"/>
        <v>7000000</v>
      </c>
      <c r="U26" s="52"/>
      <c r="V26" s="59"/>
      <c r="W26" s="59">
        <f t="shared" si="14"/>
        <v>0</v>
      </c>
      <c r="X26" s="45">
        <f t="shared" si="15"/>
        <v>2000000</v>
      </c>
    </row>
    <row r="27" spans="1:24" x14ac:dyDescent="0.35">
      <c r="A27" s="47">
        <v>44865</v>
      </c>
      <c r="B27" s="51">
        <v>25</v>
      </c>
      <c r="C27" s="51">
        <v>3</v>
      </c>
      <c r="D27" s="54">
        <f>E27+Q27+R27+T39+W27+L27+O27</f>
        <v>100000000.00000001</v>
      </c>
      <c r="E27" s="58">
        <f>E26+M27+P27+S27+U39+X27</f>
        <v>49360154.000000015</v>
      </c>
      <c r="F27" s="112">
        <f>F26</f>
        <v>4003008848.3623199</v>
      </c>
      <c r="G27" s="8">
        <f>F27*Inputs!$C$19</f>
        <v>500376106.04528999</v>
      </c>
      <c r="H27" s="63">
        <f t="shared" si="2"/>
        <v>10.1372476683377</v>
      </c>
      <c r="I27" s="8">
        <f t="shared" si="3"/>
        <v>0</v>
      </c>
      <c r="J27" s="69">
        <f t="shared" si="4"/>
        <v>0</v>
      </c>
      <c r="K27" s="69">
        <f t="shared" si="5"/>
        <v>0</v>
      </c>
      <c r="L27" s="108"/>
      <c r="M27" s="108"/>
      <c r="N27" s="108"/>
      <c r="O27" s="108"/>
      <c r="P27" s="108"/>
      <c r="Q27" s="58">
        <f t="shared" si="7"/>
        <v>50639846</v>
      </c>
      <c r="R27" s="108"/>
      <c r="S27" s="108"/>
      <c r="T27" s="7">
        <f>T14-U27</f>
        <v>6416666.666666667</v>
      </c>
      <c r="U27" s="7">
        <f>T3/12</f>
        <v>583333.33333333337</v>
      </c>
      <c r="V27" s="108"/>
      <c r="W27" s="108"/>
      <c r="X27" s="109"/>
    </row>
    <row r="28" spans="1:24" x14ac:dyDescent="0.35">
      <c r="A28" s="47">
        <v>44895</v>
      </c>
      <c r="B28" s="51">
        <v>26</v>
      </c>
      <c r="C28" s="51">
        <v>3</v>
      </c>
      <c r="D28" s="54">
        <f>E28+Q28+R28+T40+W28+L28+O28</f>
        <v>100000000.00000001</v>
      </c>
      <c r="E28" s="58">
        <f>E27+M28+P28+S28+U40+X28</f>
        <v>49360154.000000015</v>
      </c>
      <c r="F28" s="112">
        <f t="shared" ref="F28:F38" si="17">F27</f>
        <v>4003008848.3623199</v>
      </c>
      <c r="G28" s="8">
        <f>F28*Inputs!$C$19</f>
        <v>500376106.04528999</v>
      </c>
      <c r="H28" s="63">
        <f t="shared" si="2"/>
        <v>10.1372476683377</v>
      </c>
      <c r="I28" s="8">
        <f t="shared" si="3"/>
        <v>0</v>
      </c>
      <c r="J28" s="69">
        <f t="shared" si="4"/>
        <v>0</v>
      </c>
      <c r="K28" s="69">
        <f t="shared" si="5"/>
        <v>0</v>
      </c>
      <c r="L28" s="51"/>
      <c r="M28" s="51"/>
      <c r="N28" s="51"/>
      <c r="O28" s="51"/>
      <c r="P28" s="51"/>
      <c r="Q28" s="58">
        <f t="shared" si="7"/>
        <v>50639846</v>
      </c>
      <c r="R28" s="51"/>
      <c r="S28" s="51"/>
      <c r="T28" s="7">
        <f>T27-U28</f>
        <v>5833333.333333334</v>
      </c>
      <c r="U28" s="7">
        <f>T4/12</f>
        <v>583333.33333333337</v>
      </c>
      <c r="V28" s="51"/>
      <c r="W28" s="51"/>
      <c r="X28" s="110"/>
    </row>
    <row r="29" spans="1:24" x14ac:dyDescent="0.35">
      <c r="A29" s="47">
        <v>44926</v>
      </c>
      <c r="B29" s="51">
        <v>27</v>
      </c>
      <c r="C29" s="51">
        <v>3</v>
      </c>
      <c r="D29" s="54">
        <f>E29+Q29+R29+T41+W29+L29+O29</f>
        <v>100000000.00000001</v>
      </c>
      <c r="E29" s="58">
        <f>E28+M29+P29+S29+U41+X29</f>
        <v>49360154.000000015</v>
      </c>
      <c r="F29" s="112">
        <f t="shared" si="17"/>
        <v>4003008848.3623199</v>
      </c>
      <c r="G29" s="8">
        <f>F29*Inputs!$C$19</f>
        <v>500376106.04528999</v>
      </c>
      <c r="H29" s="63">
        <f t="shared" si="2"/>
        <v>10.1372476683377</v>
      </c>
      <c r="I29" s="8">
        <f t="shared" si="3"/>
        <v>0</v>
      </c>
      <c r="J29" s="69">
        <f t="shared" si="4"/>
        <v>0</v>
      </c>
      <c r="K29" s="69">
        <f t="shared" si="5"/>
        <v>0</v>
      </c>
      <c r="L29" s="51"/>
      <c r="M29" s="51"/>
      <c r="N29" s="51"/>
      <c r="O29" s="51"/>
      <c r="P29" s="51"/>
      <c r="Q29" s="58">
        <f t="shared" si="7"/>
        <v>50639846</v>
      </c>
      <c r="R29" s="51"/>
      <c r="S29" s="51"/>
      <c r="T29" s="7">
        <f>T28-U29</f>
        <v>5250000.0000000009</v>
      </c>
      <c r="U29" s="7">
        <f>T5/12</f>
        <v>583333.33333333337</v>
      </c>
      <c r="V29" s="51"/>
      <c r="W29" s="51"/>
      <c r="X29" s="110"/>
    </row>
    <row r="30" spans="1:24" x14ac:dyDescent="0.35">
      <c r="A30" s="47">
        <v>44957</v>
      </c>
      <c r="B30" s="51">
        <v>28</v>
      </c>
      <c r="C30" s="51">
        <v>3</v>
      </c>
      <c r="D30" s="54">
        <f>E30+Q30+R30+T42+W30+L30+O30</f>
        <v>100000000.00000001</v>
      </c>
      <c r="E30" s="58">
        <f>E29+M30+P30+S30+U42+X30</f>
        <v>49360154.000000015</v>
      </c>
      <c r="F30" s="112">
        <f t="shared" si="17"/>
        <v>4003008848.3623199</v>
      </c>
      <c r="G30" s="8">
        <f>F30*Inputs!$C$19</f>
        <v>500376106.04528999</v>
      </c>
      <c r="H30" s="63">
        <f t="shared" si="2"/>
        <v>10.1372476683377</v>
      </c>
      <c r="I30" s="8">
        <f t="shared" si="3"/>
        <v>0</v>
      </c>
      <c r="J30" s="69">
        <f t="shared" si="4"/>
        <v>0</v>
      </c>
      <c r="K30" s="69">
        <f t="shared" si="5"/>
        <v>0</v>
      </c>
      <c r="L30" s="51"/>
      <c r="M30" s="51"/>
      <c r="N30" s="51"/>
      <c r="O30" s="51"/>
      <c r="P30" s="51"/>
      <c r="Q30" s="58">
        <f t="shared" si="7"/>
        <v>50639846</v>
      </c>
      <c r="R30" s="51"/>
      <c r="S30" s="51"/>
      <c r="T30" s="7">
        <f>T29-U30</f>
        <v>4666666.6666666679</v>
      </c>
      <c r="U30" s="7">
        <f>T6/12</f>
        <v>583333.33333333337</v>
      </c>
      <c r="V30" s="51"/>
      <c r="W30" s="51"/>
      <c r="X30" s="110"/>
    </row>
    <row r="31" spans="1:24" x14ac:dyDescent="0.35">
      <c r="A31" s="47">
        <v>44985</v>
      </c>
      <c r="B31" s="51">
        <v>29</v>
      </c>
      <c r="C31" s="51">
        <v>3</v>
      </c>
      <c r="D31" s="54">
        <f>E31+Q31+R31+T43+W31+L31+O31</f>
        <v>100000000.00000001</v>
      </c>
      <c r="E31" s="58">
        <f>E30+M31+P31+S31+U43+X31</f>
        <v>49360154.000000015</v>
      </c>
      <c r="F31" s="112">
        <f t="shared" si="17"/>
        <v>4003008848.3623199</v>
      </c>
      <c r="G31" s="8">
        <f>F31*Inputs!$C$19</f>
        <v>500376106.04528999</v>
      </c>
      <c r="H31" s="63">
        <f t="shared" si="2"/>
        <v>10.1372476683377</v>
      </c>
      <c r="I31" s="8">
        <f t="shared" si="3"/>
        <v>0</v>
      </c>
      <c r="J31" s="69">
        <f t="shared" si="4"/>
        <v>0</v>
      </c>
      <c r="K31" s="69">
        <f t="shared" si="5"/>
        <v>0</v>
      </c>
      <c r="L31" s="51"/>
      <c r="M31" s="51"/>
      <c r="N31" s="51"/>
      <c r="O31" s="51"/>
      <c r="P31" s="51"/>
      <c r="Q31" s="58">
        <f t="shared" si="7"/>
        <v>50639846</v>
      </c>
      <c r="R31" s="51"/>
      <c r="S31" s="51"/>
      <c r="T31" s="7">
        <f>T30-U31</f>
        <v>4083333.3333333344</v>
      </c>
      <c r="U31" s="7">
        <f>T7/12</f>
        <v>583333.33333333337</v>
      </c>
      <c r="V31" s="51"/>
      <c r="W31" s="51"/>
      <c r="X31" s="110"/>
    </row>
    <row r="32" spans="1:24" x14ac:dyDescent="0.35">
      <c r="A32" s="47">
        <v>45016</v>
      </c>
      <c r="B32" s="51">
        <v>30</v>
      </c>
      <c r="C32" s="51">
        <v>3</v>
      </c>
      <c r="D32" s="54">
        <f>E32+Q32+R32+T44+W32+L32+O32</f>
        <v>100000000.00000001</v>
      </c>
      <c r="E32" s="58">
        <f>E31+M32+P32+S32+U44+X32</f>
        <v>49360154.000000015</v>
      </c>
      <c r="F32" s="112">
        <f t="shared" si="17"/>
        <v>4003008848.3623199</v>
      </c>
      <c r="G32" s="8">
        <f>F32*Inputs!$C$19</f>
        <v>500376106.04528999</v>
      </c>
      <c r="H32" s="63">
        <f t="shared" si="2"/>
        <v>10.1372476683377</v>
      </c>
      <c r="I32" s="8">
        <f t="shared" si="3"/>
        <v>0</v>
      </c>
      <c r="J32" s="69">
        <f t="shared" si="4"/>
        <v>0</v>
      </c>
      <c r="K32" s="69">
        <f t="shared" si="5"/>
        <v>0</v>
      </c>
      <c r="L32" s="51"/>
      <c r="M32" s="51"/>
      <c r="N32" s="51"/>
      <c r="O32" s="51"/>
      <c r="P32" s="51"/>
      <c r="Q32" s="58">
        <f t="shared" si="7"/>
        <v>50639846</v>
      </c>
      <c r="R32" s="51"/>
      <c r="S32" s="51"/>
      <c r="T32" s="7">
        <f>T31-U32</f>
        <v>3500000.0000000009</v>
      </c>
      <c r="U32" s="7">
        <f>T8/12</f>
        <v>583333.33333333337</v>
      </c>
      <c r="V32" s="51"/>
      <c r="W32" s="51"/>
      <c r="X32" s="110"/>
    </row>
    <row r="33" spans="1:24" x14ac:dyDescent="0.35">
      <c r="A33" s="47">
        <v>45046</v>
      </c>
      <c r="B33" s="51">
        <v>31</v>
      </c>
      <c r="C33" s="51">
        <v>3</v>
      </c>
      <c r="D33" s="54">
        <f>E33+Q33+R33+T45+W33+L33+O33</f>
        <v>100000000.00000001</v>
      </c>
      <c r="E33" s="58">
        <f>E32+M33+P33+S33+U45+X33</f>
        <v>49360154.000000015</v>
      </c>
      <c r="F33" s="112">
        <f t="shared" si="17"/>
        <v>4003008848.3623199</v>
      </c>
      <c r="G33" s="8">
        <f>F33*Inputs!$C$19</f>
        <v>500376106.04528999</v>
      </c>
      <c r="H33" s="63">
        <f t="shared" si="2"/>
        <v>10.1372476683377</v>
      </c>
      <c r="I33" s="8">
        <f t="shared" si="3"/>
        <v>0</v>
      </c>
      <c r="J33" s="69">
        <f t="shared" si="4"/>
        <v>0</v>
      </c>
      <c r="K33" s="69">
        <f t="shared" si="5"/>
        <v>0</v>
      </c>
      <c r="L33" s="51"/>
      <c r="M33" s="51"/>
      <c r="N33" s="51"/>
      <c r="O33" s="51"/>
      <c r="P33" s="51"/>
      <c r="Q33" s="58">
        <f t="shared" si="7"/>
        <v>50639846</v>
      </c>
      <c r="R33" s="51"/>
      <c r="S33" s="51"/>
      <c r="T33" s="7">
        <f>T32-U33</f>
        <v>2916666.6666666674</v>
      </c>
      <c r="U33" s="7">
        <f>T9/12</f>
        <v>583333.33333333337</v>
      </c>
      <c r="V33" s="51"/>
      <c r="W33" s="51"/>
      <c r="X33" s="110"/>
    </row>
    <row r="34" spans="1:24" x14ac:dyDescent="0.35">
      <c r="A34" s="47">
        <v>45077</v>
      </c>
      <c r="B34" s="51">
        <v>32</v>
      </c>
      <c r="C34" s="51">
        <v>3</v>
      </c>
      <c r="D34" s="54">
        <f>E34+Q34+R34+T46+W34+L34+O34</f>
        <v>100000000.00000001</v>
      </c>
      <c r="E34" s="58">
        <f>E33+M34+P34+S34+U46+X34</f>
        <v>49360154.000000015</v>
      </c>
      <c r="F34" s="112">
        <f t="shared" si="17"/>
        <v>4003008848.3623199</v>
      </c>
      <c r="G34" s="8">
        <f>F34*Inputs!$C$19</f>
        <v>500376106.04528999</v>
      </c>
      <c r="H34" s="63">
        <f t="shared" si="2"/>
        <v>10.1372476683377</v>
      </c>
      <c r="I34" s="8">
        <f t="shared" si="3"/>
        <v>0</v>
      </c>
      <c r="J34" s="69">
        <f t="shared" si="4"/>
        <v>0</v>
      </c>
      <c r="K34" s="69">
        <f t="shared" si="5"/>
        <v>0</v>
      </c>
      <c r="L34" s="51"/>
      <c r="M34" s="51"/>
      <c r="N34" s="51"/>
      <c r="O34" s="51"/>
      <c r="P34" s="51"/>
      <c r="Q34" s="58">
        <f t="shared" si="7"/>
        <v>50639846</v>
      </c>
      <c r="R34" s="51"/>
      <c r="S34" s="51"/>
      <c r="T34" s="7">
        <f>T33-U34</f>
        <v>2333333.333333334</v>
      </c>
      <c r="U34" s="7">
        <f>T10/12</f>
        <v>583333.33333333337</v>
      </c>
      <c r="V34" s="51"/>
      <c r="W34" s="51"/>
      <c r="X34" s="110"/>
    </row>
    <row r="35" spans="1:24" x14ac:dyDescent="0.35">
      <c r="A35" s="47">
        <v>45107</v>
      </c>
      <c r="B35" s="51">
        <v>33</v>
      </c>
      <c r="C35" s="51">
        <v>3</v>
      </c>
      <c r="D35" s="54">
        <f>E35+Q35+R35+T47+W35+L35+O35</f>
        <v>100000000.00000001</v>
      </c>
      <c r="E35" s="58">
        <f>E34+M35+P35+S35+U47+X35</f>
        <v>49360154.000000015</v>
      </c>
      <c r="F35" s="112">
        <f t="shared" si="17"/>
        <v>4003008848.3623199</v>
      </c>
      <c r="G35" s="8">
        <f>F35*Inputs!$C$19</f>
        <v>500376106.04528999</v>
      </c>
      <c r="H35" s="63">
        <f t="shared" si="2"/>
        <v>10.1372476683377</v>
      </c>
      <c r="I35" s="8">
        <f t="shared" si="3"/>
        <v>0</v>
      </c>
      <c r="J35" s="69">
        <f t="shared" si="4"/>
        <v>0</v>
      </c>
      <c r="K35" s="69">
        <f t="shared" si="5"/>
        <v>0</v>
      </c>
      <c r="L35" s="51"/>
      <c r="M35" s="51"/>
      <c r="N35" s="51"/>
      <c r="O35" s="51"/>
      <c r="P35" s="51"/>
      <c r="Q35" s="58">
        <f t="shared" si="7"/>
        <v>50639846</v>
      </c>
      <c r="R35" s="51"/>
      <c r="S35" s="51"/>
      <c r="T35" s="7">
        <f>T34-U35</f>
        <v>1750000.0000000005</v>
      </c>
      <c r="U35" s="7">
        <f>T11/12</f>
        <v>583333.33333333337</v>
      </c>
      <c r="V35" s="51"/>
      <c r="W35" s="51"/>
      <c r="X35" s="110"/>
    </row>
    <row r="36" spans="1:24" x14ac:dyDescent="0.35">
      <c r="A36" s="47">
        <v>45138</v>
      </c>
      <c r="B36" s="51">
        <v>34</v>
      </c>
      <c r="C36" s="51">
        <v>3</v>
      </c>
      <c r="D36" s="54">
        <f>E36+Q36+R36+T48+W36+L36+O36</f>
        <v>100000000.00000001</v>
      </c>
      <c r="E36" s="58">
        <f>E35+M36+P36+S36+U48+X36</f>
        <v>49360154.000000015</v>
      </c>
      <c r="F36" s="112">
        <f t="shared" si="17"/>
        <v>4003008848.3623199</v>
      </c>
      <c r="G36" s="8">
        <f>F36*Inputs!$C$19</f>
        <v>500376106.04528999</v>
      </c>
      <c r="H36" s="63">
        <f t="shared" si="2"/>
        <v>10.1372476683377</v>
      </c>
      <c r="I36" s="8">
        <f t="shared" si="3"/>
        <v>0</v>
      </c>
      <c r="J36" s="69">
        <f t="shared" si="4"/>
        <v>0</v>
      </c>
      <c r="K36" s="69">
        <f t="shared" si="5"/>
        <v>0</v>
      </c>
      <c r="L36" s="51"/>
      <c r="M36" s="51"/>
      <c r="N36" s="51"/>
      <c r="O36" s="51"/>
      <c r="P36" s="51"/>
      <c r="Q36" s="58">
        <f t="shared" si="7"/>
        <v>50639846</v>
      </c>
      <c r="R36" s="51"/>
      <c r="S36" s="51"/>
      <c r="T36" s="7">
        <f>T35-U36</f>
        <v>1166666.666666667</v>
      </c>
      <c r="U36" s="7">
        <f>T12/12</f>
        <v>583333.33333333337</v>
      </c>
      <c r="V36" s="51"/>
      <c r="W36" s="51"/>
      <c r="X36" s="110"/>
    </row>
    <row r="37" spans="1:24" x14ac:dyDescent="0.35">
      <c r="A37" s="47">
        <v>45169</v>
      </c>
      <c r="B37" s="51">
        <v>35</v>
      </c>
      <c r="C37" s="51">
        <v>3</v>
      </c>
      <c r="D37" s="54">
        <f>E37+Q37+R37+T49+W37+L37+O37</f>
        <v>100000000.00000001</v>
      </c>
      <c r="E37" s="58">
        <f>E36+M37+P37+S37+U49+X37</f>
        <v>49360154.000000015</v>
      </c>
      <c r="F37" s="112">
        <f t="shared" si="17"/>
        <v>4003008848.3623199</v>
      </c>
      <c r="G37" s="8">
        <f>F37*Inputs!$C$19</f>
        <v>500376106.04528999</v>
      </c>
      <c r="H37" s="63">
        <f t="shared" si="2"/>
        <v>10.1372476683377</v>
      </c>
      <c r="I37" s="8">
        <f t="shared" si="3"/>
        <v>0</v>
      </c>
      <c r="J37" s="69">
        <f t="shared" si="4"/>
        <v>0</v>
      </c>
      <c r="K37" s="69">
        <f t="shared" si="5"/>
        <v>0</v>
      </c>
      <c r="L37" s="51"/>
      <c r="M37" s="51"/>
      <c r="N37" s="51"/>
      <c r="O37" s="51"/>
      <c r="P37" s="51"/>
      <c r="Q37" s="58">
        <f t="shared" si="7"/>
        <v>50639846</v>
      </c>
      <c r="R37" s="51"/>
      <c r="S37" s="51"/>
      <c r="T37" s="7">
        <f>T36-U37</f>
        <v>583333.3333333336</v>
      </c>
      <c r="U37" s="7">
        <f>T13/12</f>
        <v>583333.33333333337</v>
      </c>
      <c r="V37" s="51"/>
      <c r="W37" s="51"/>
      <c r="X37" s="110"/>
    </row>
    <row r="38" spans="1:24" ht="15" thickBot="1" x14ac:dyDescent="0.4">
      <c r="A38" s="49">
        <v>45199</v>
      </c>
      <c r="B38" s="53">
        <v>36</v>
      </c>
      <c r="C38" s="53">
        <v>3</v>
      </c>
      <c r="D38" s="56">
        <f>E38+Q38+R38+T50+W38+L38+O38</f>
        <v>100000000.00000001</v>
      </c>
      <c r="E38" s="60">
        <f>E37+M38+P38+S38+U50+X38</f>
        <v>49360154.000000015</v>
      </c>
      <c r="F38" s="113">
        <f t="shared" si="17"/>
        <v>4003008848.3623199</v>
      </c>
      <c r="G38" s="10">
        <f>F38*Inputs!$C$19</f>
        <v>500376106.04528999</v>
      </c>
      <c r="H38" s="65">
        <f t="shared" si="2"/>
        <v>10.1372476683377</v>
      </c>
      <c r="I38" s="10">
        <f t="shared" si="3"/>
        <v>0</v>
      </c>
      <c r="J38" s="71">
        <f t="shared" si="4"/>
        <v>0</v>
      </c>
      <c r="K38" s="71">
        <f t="shared" si="5"/>
        <v>0</v>
      </c>
      <c r="L38" s="53"/>
      <c r="M38" s="53"/>
      <c r="N38" s="53"/>
      <c r="O38" s="53"/>
      <c r="P38" s="53"/>
      <c r="Q38" s="60">
        <f>Q37-V38-N38</f>
        <v>50639846</v>
      </c>
      <c r="R38" s="53"/>
      <c r="S38" s="53"/>
      <c r="T38" s="9">
        <f>T37-U38</f>
        <v>0</v>
      </c>
      <c r="U38" s="9">
        <f>T14/12</f>
        <v>583333.33333333337</v>
      </c>
      <c r="V38" s="53"/>
      <c r="W38" s="53"/>
      <c r="X38" s="111"/>
    </row>
  </sheetData>
  <pageMargins left="0.7" right="0.7" top="0.75" bottom="0.75" header="0.3" footer="0.3"/>
  <ignoredErrors>
    <ignoredError sqref="S15 S16:S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B0487-6205-4B36-9C38-214995AAEEB6}">
  <dimension ref="A4:V25"/>
  <sheetViews>
    <sheetView showGridLines="0" zoomScale="90" zoomScaleNormal="90" workbookViewId="0">
      <selection activeCell="G34" sqref="G34"/>
    </sheetView>
  </sheetViews>
  <sheetFormatPr defaultRowHeight="14.5" x14ac:dyDescent="0.35"/>
  <cols>
    <col min="1" max="1" width="8.7265625" style="114"/>
    <col min="2" max="2" width="14.26953125" style="114" bestFit="1" customWidth="1"/>
    <col min="3" max="3" width="11.7265625" style="114" bestFit="1" customWidth="1"/>
    <col min="4" max="8" width="8.7265625" style="114"/>
    <col min="9" max="9" width="12.6328125" style="114" bestFit="1" customWidth="1"/>
    <col min="10" max="16384" width="8.7265625" style="114"/>
  </cols>
  <sheetData>
    <row r="4" spans="1:22" ht="15" thickBot="1" x14ac:dyDescent="0.4"/>
    <row r="5" spans="1:22" x14ac:dyDescent="0.35">
      <c r="A5" s="32"/>
      <c r="B5" s="33"/>
      <c r="C5" s="104" t="s">
        <v>17</v>
      </c>
      <c r="D5" s="104"/>
      <c r="E5" s="104"/>
      <c r="F5" s="104"/>
      <c r="G5" s="104"/>
      <c r="H5" s="104"/>
      <c r="I5" s="104"/>
      <c r="J5" s="104"/>
      <c r="K5" s="104"/>
      <c r="L5" s="104"/>
      <c r="M5" s="105"/>
      <c r="N5" s="105"/>
      <c r="O5" s="105"/>
      <c r="P5" s="105"/>
      <c r="Q5" s="105"/>
      <c r="R5" s="105"/>
      <c r="S5" s="105"/>
      <c r="T5" s="105"/>
      <c r="U5" s="105"/>
      <c r="V5" s="106"/>
    </row>
    <row r="6" spans="1:22" x14ac:dyDescent="0.35">
      <c r="A6" s="34"/>
      <c r="B6" s="23"/>
      <c r="C6" s="24">
        <v>1</v>
      </c>
      <c r="D6" s="24">
        <v>2</v>
      </c>
      <c r="E6" s="24">
        <v>3</v>
      </c>
      <c r="F6" s="24">
        <v>4</v>
      </c>
      <c r="G6" s="24">
        <v>5</v>
      </c>
      <c r="H6" s="24">
        <v>6</v>
      </c>
      <c r="I6" s="24">
        <v>7</v>
      </c>
      <c r="J6" s="24">
        <v>8</v>
      </c>
      <c r="K6" s="24">
        <v>9</v>
      </c>
      <c r="L6" s="24">
        <v>10</v>
      </c>
      <c r="M6" s="24">
        <v>11</v>
      </c>
      <c r="N6" s="24">
        <v>12</v>
      </c>
      <c r="O6" s="24">
        <v>13</v>
      </c>
      <c r="P6" s="24">
        <v>14</v>
      </c>
      <c r="Q6" s="24">
        <v>15</v>
      </c>
      <c r="R6" s="24">
        <v>16</v>
      </c>
      <c r="S6" s="24">
        <v>17</v>
      </c>
      <c r="T6" s="24">
        <v>18</v>
      </c>
      <c r="U6" s="24">
        <v>19</v>
      </c>
      <c r="V6" s="25">
        <v>20</v>
      </c>
    </row>
    <row r="7" spans="1:22" x14ac:dyDescent="0.35">
      <c r="A7" s="102" t="s">
        <v>18</v>
      </c>
      <c r="B7" s="26">
        <v>100000000</v>
      </c>
      <c r="C7" s="27">
        <f>(C$6*Inputs!$C$16*12)/$B7</f>
        <v>0.24</v>
      </c>
      <c r="D7" s="27">
        <f>(D6*Inputs!$C$16*12)/$B7</f>
        <v>0.48</v>
      </c>
      <c r="E7" s="27">
        <f>(E6*Inputs!$C$16*12)/$B7</f>
        <v>0.72</v>
      </c>
      <c r="F7" s="27">
        <f>(F6*Inputs!$C$16*12)/$B7</f>
        <v>0.96</v>
      </c>
      <c r="G7" s="27">
        <f>(G6*Inputs!$C$16*12)/$B7</f>
        <v>1.2</v>
      </c>
      <c r="H7" s="27">
        <f>(H6*Inputs!$C$16*12)/$B7</f>
        <v>1.44</v>
      </c>
      <c r="I7" s="27">
        <f>(I6*Inputs!$C$16*12)/$B7</f>
        <v>1.68</v>
      </c>
      <c r="J7" s="27">
        <f>(J6*Inputs!$C$16*12)/$B7</f>
        <v>1.92</v>
      </c>
      <c r="K7" s="27">
        <f>(K6*Inputs!$C$16*12)/$B7</f>
        <v>2.16</v>
      </c>
      <c r="L7" s="27">
        <f>(L6*Inputs!$C$16*12)/$B7</f>
        <v>2.4</v>
      </c>
      <c r="M7" s="27">
        <f>(M6*Inputs!$C$16*12)/$B7</f>
        <v>2.64</v>
      </c>
      <c r="N7" s="27">
        <f>(N6*Inputs!$C$16*12)/$B7</f>
        <v>2.88</v>
      </c>
      <c r="O7" s="27">
        <f>(O6*Inputs!$C$16*12)/$B7</f>
        <v>3.12</v>
      </c>
      <c r="P7" s="27">
        <f>(P6*Inputs!$C$16*12)/$B7</f>
        <v>3.36</v>
      </c>
      <c r="Q7" s="27">
        <f>(Q6*Inputs!$C$16*12)/$B7</f>
        <v>3.6</v>
      </c>
      <c r="R7" s="27">
        <f>(R6*Inputs!$C$16*12)/$B7</f>
        <v>3.84</v>
      </c>
      <c r="S7" s="27">
        <f>(S6*Inputs!$C$16*12)/$B7</f>
        <v>4.08</v>
      </c>
      <c r="T7" s="27">
        <f>(T6*Inputs!$C$16*12)/$B7</f>
        <v>4.32</v>
      </c>
      <c r="U7" s="27">
        <f>(U6*Inputs!$C$16*12)/$B7</f>
        <v>4.5599999999999996</v>
      </c>
      <c r="V7" s="28">
        <f>(V6*Inputs!$C$16*12)/$B7</f>
        <v>4.8</v>
      </c>
    </row>
    <row r="8" spans="1:22" x14ac:dyDescent="0.35">
      <c r="A8" s="102"/>
      <c r="B8" s="26">
        <f>B7*2</f>
        <v>200000000</v>
      </c>
      <c r="C8" s="27">
        <f>(C$6*Inputs!$C$16*12)/$B8</f>
        <v>0.12</v>
      </c>
      <c r="D8" s="27">
        <f>(D$6*Inputs!$C$16*12)/$B8</f>
        <v>0.24</v>
      </c>
      <c r="E8" s="27">
        <f>(E$6*Inputs!$C$16*12)/$B8</f>
        <v>0.36</v>
      </c>
      <c r="F8" s="27">
        <f>(F$6*Inputs!$C$16*12)/$B8</f>
        <v>0.48</v>
      </c>
      <c r="G8" s="27">
        <f>(G$6*Inputs!$C$16*12)/$B8</f>
        <v>0.6</v>
      </c>
      <c r="H8" s="27">
        <f>(H$6*Inputs!$C$16*12)/$B8</f>
        <v>0.72</v>
      </c>
      <c r="I8" s="27">
        <f>(I$6*Inputs!$C$16*12)/$B8</f>
        <v>0.84</v>
      </c>
      <c r="J8" s="27">
        <f>(J$6*Inputs!$C$16*12)/$B8</f>
        <v>0.96</v>
      </c>
      <c r="K8" s="27">
        <f>(K$6*Inputs!$C$16*12)/$B8</f>
        <v>1.08</v>
      </c>
      <c r="L8" s="27">
        <f>(L$6*Inputs!$C$16*12)/$B8</f>
        <v>1.2</v>
      </c>
      <c r="M8" s="27">
        <f>(M$6*Inputs!$C$16*12)/$B8</f>
        <v>1.32</v>
      </c>
      <c r="N8" s="27">
        <f>(N$6*Inputs!$C$16*12)/$B8</f>
        <v>1.44</v>
      </c>
      <c r="O8" s="27">
        <f>(O$6*Inputs!$C$16*12)/$B8</f>
        <v>1.56</v>
      </c>
      <c r="P8" s="27">
        <f>(P$6*Inputs!$C$16*12)/$B8</f>
        <v>1.68</v>
      </c>
      <c r="Q8" s="27">
        <f>(Q$6*Inputs!$C$16*12)/$B8</f>
        <v>1.8</v>
      </c>
      <c r="R8" s="27">
        <f>(R$6*Inputs!$C$16*12)/$B8</f>
        <v>1.92</v>
      </c>
      <c r="S8" s="27">
        <f>(S$6*Inputs!$C$16*12)/$B8</f>
        <v>2.04</v>
      </c>
      <c r="T8" s="27">
        <f>(T$6*Inputs!$C$16*12)/$B8</f>
        <v>2.16</v>
      </c>
      <c r="U8" s="27">
        <f>(U$6*Inputs!$C$16*12)/$B8</f>
        <v>2.2799999999999998</v>
      </c>
      <c r="V8" s="28">
        <f>(V$6*Inputs!$C$16*12)/$B8</f>
        <v>2.4</v>
      </c>
    </row>
    <row r="9" spans="1:22" x14ac:dyDescent="0.35">
      <c r="A9" s="102"/>
      <c r="B9" s="26">
        <f>B7*3</f>
        <v>300000000</v>
      </c>
      <c r="C9" s="27">
        <f>(C$6*Inputs!$C$16*12)/$B9</f>
        <v>0.08</v>
      </c>
      <c r="D9" s="27">
        <f>(D$6*Inputs!$C$16*12)/$B9</f>
        <v>0.16</v>
      </c>
      <c r="E9" s="27">
        <f>(E$6*Inputs!$C$16*12)/$B9</f>
        <v>0.24</v>
      </c>
      <c r="F9" s="27">
        <f>(F$6*Inputs!$C$16*12)/$B9</f>
        <v>0.32</v>
      </c>
      <c r="G9" s="27">
        <f>(G$6*Inputs!$C$16*12)/$B9</f>
        <v>0.4</v>
      </c>
      <c r="H9" s="27">
        <f>(H$6*Inputs!$C$16*12)/$B9</f>
        <v>0.48</v>
      </c>
      <c r="I9" s="27">
        <f>(I$6*Inputs!$C$16*12)/$B9</f>
        <v>0.56000000000000005</v>
      </c>
      <c r="J9" s="27">
        <f>(J$6*Inputs!$C$16*12)/$B9</f>
        <v>0.64</v>
      </c>
      <c r="K9" s="27">
        <f>(K$6*Inputs!$C$16*12)/$B9</f>
        <v>0.72</v>
      </c>
      <c r="L9" s="27">
        <f>(L$6*Inputs!$C$16*12)/$B9</f>
        <v>0.8</v>
      </c>
      <c r="M9" s="27">
        <f>(M$6*Inputs!$C$16*12)/$B9</f>
        <v>0.88</v>
      </c>
      <c r="N9" s="27">
        <f>(N$6*Inputs!$C$16*12)/$B9</f>
        <v>0.96</v>
      </c>
      <c r="O9" s="27">
        <f>(O$6*Inputs!$C$16*12)/$B9</f>
        <v>1.04</v>
      </c>
      <c r="P9" s="27">
        <f>(P$6*Inputs!$C$16*12)/$B9</f>
        <v>1.1200000000000001</v>
      </c>
      <c r="Q9" s="27">
        <f>(Q$6*Inputs!$C$16*12)/$B9</f>
        <v>1.2</v>
      </c>
      <c r="R9" s="27">
        <f>(R$6*Inputs!$C$16*12)/$B9</f>
        <v>1.28</v>
      </c>
      <c r="S9" s="27">
        <f>(S$6*Inputs!$C$16*12)/$B9</f>
        <v>1.36</v>
      </c>
      <c r="T9" s="27">
        <f>(T$6*Inputs!$C$16*12)/$B9</f>
        <v>1.44</v>
      </c>
      <c r="U9" s="27">
        <f>(U$6*Inputs!$C$16*12)/$B9</f>
        <v>1.52</v>
      </c>
      <c r="V9" s="28">
        <f>(V$6*Inputs!$C$16*12)/$B9</f>
        <v>1.6</v>
      </c>
    </row>
    <row r="10" spans="1:22" x14ac:dyDescent="0.35">
      <c r="A10" s="102"/>
      <c r="B10" s="26">
        <f>B7*4</f>
        <v>400000000</v>
      </c>
      <c r="C10" s="27">
        <f>(C$6*Inputs!$C$16*12)/$B10</f>
        <v>0.06</v>
      </c>
      <c r="D10" s="27">
        <f>(D$6*Inputs!$C$16*12)/$B10</f>
        <v>0.12</v>
      </c>
      <c r="E10" s="27">
        <f>(E$6*Inputs!$C$16*12)/$B10</f>
        <v>0.18</v>
      </c>
      <c r="F10" s="27">
        <f>(F$6*Inputs!$C$16*12)/$B10</f>
        <v>0.24</v>
      </c>
      <c r="G10" s="27">
        <f>(G$6*Inputs!$C$16*12)/$B10</f>
        <v>0.3</v>
      </c>
      <c r="H10" s="27">
        <f>(H$6*Inputs!$C$16*12)/$B10</f>
        <v>0.36</v>
      </c>
      <c r="I10" s="27">
        <f>(I$6*Inputs!$C$16*12)/$B10</f>
        <v>0.42</v>
      </c>
      <c r="J10" s="27">
        <f>(J$6*Inputs!$C$16*12)/$B10</f>
        <v>0.48</v>
      </c>
      <c r="K10" s="27">
        <f>(K$6*Inputs!$C$16*12)/$B10</f>
        <v>0.54</v>
      </c>
      <c r="L10" s="27">
        <f>(L$6*Inputs!$C$16*12)/$B10</f>
        <v>0.6</v>
      </c>
      <c r="M10" s="27">
        <f>(M$6*Inputs!$C$16*12)/$B10</f>
        <v>0.66</v>
      </c>
      <c r="N10" s="27">
        <f>(N$6*Inputs!$C$16*12)/$B10</f>
        <v>0.72</v>
      </c>
      <c r="O10" s="27">
        <f>(O$6*Inputs!$C$16*12)/$B10</f>
        <v>0.78</v>
      </c>
      <c r="P10" s="27">
        <f>(P$6*Inputs!$C$16*12)/$B10</f>
        <v>0.84</v>
      </c>
      <c r="Q10" s="27">
        <f>(Q$6*Inputs!$C$16*12)/$B10</f>
        <v>0.9</v>
      </c>
      <c r="R10" s="27">
        <f>(R$6*Inputs!$C$16*12)/$B10</f>
        <v>0.96</v>
      </c>
      <c r="S10" s="27">
        <f>(S$6*Inputs!$C$16*12)/$B10</f>
        <v>1.02</v>
      </c>
      <c r="T10" s="27">
        <f>(T$6*Inputs!$C$16*12)/$B10</f>
        <v>1.08</v>
      </c>
      <c r="U10" s="27">
        <f>(U$6*Inputs!$C$16*12)/$B10</f>
        <v>1.1399999999999999</v>
      </c>
      <c r="V10" s="28">
        <f>(V$6*Inputs!$C$16*12)/$B10</f>
        <v>1.2</v>
      </c>
    </row>
    <row r="11" spans="1:22" x14ac:dyDescent="0.35">
      <c r="A11" s="102"/>
      <c r="B11" s="26">
        <f>B7*5</f>
        <v>500000000</v>
      </c>
      <c r="C11" s="27">
        <f>(C$6*Inputs!$C$16*12)/$B11</f>
        <v>4.8000000000000001E-2</v>
      </c>
      <c r="D11" s="27">
        <f>(D$6*Inputs!$C$16*12)/$B11</f>
        <v>9.6000000000000002E-2</v>
      </c>
      <c r="E11" s="27">
        <f>(E$6*Inputs!$C$16*12)/$B11</f>
        <v>0.14399999999999999</v>
      </c>
      <c r="F11" s="27">
        <f>(F$6*Inputs!$C$16*12)/$B11</f>
        <v>0.192</v>
      </c>
      <c r="G11" s="27">
        <f>(G$6*Inputs!$C$16*12)/$B11</f>
        <v>0.24</v>
      </c>
      <c r="H11" s="27">
        <f>(H$6*Inputs!$C$16*12)/$B11</f>
        <v>0.28799999999999998</v>
      </c>
      <c r="I11" s="27">
        <f>(I$6*Inputs!$C$16*12)/$B11</f>
        <v>0.33600000000000002</v>
      </c>
      <c r="J11" s="27">
        <f>(J$6*Inputs!$C$16*12)/$B11</f>
        <v>0.38400000000000001</v>
      </c>
      <c r="K11" s="27">
        <f>(K$6*Inputs!$C$16*12)/$B11</f>
        <v>0.432</v>
      </c>
      <c r="L11" s="27">
        <f>(L$6*Inputs!$C$16*12)/$B11</f>
        <v>0.48</v>
      </c>
      <c r="M11" s="27">
        <f>(M$6*Inputs!$C$16*12)/$B11</f>
        <v>0.52800000000000002</v>
      </c>
      <c r="N11" s="27">
        <f>(N$6*Inputs!$C$16*12)/$B11</f>
        <v>0.57599999999999996</v>
      </c>
      <c r="O11" s="27">
        <f>(O$6*Inputs!$C$16*12)/$B11</f>
        <v>0.624</v>
      </c>
      <c r="P11" s="27">
        <f>(P$6*Inputs!$C$16*12)/$B11</f>
        <v>0.67200000000000004</v>
      </c>
      <c r="Q11" s="27">
        <f>(Q$6*Inputs!$C$16*12)/$B11</f>
        <v>0.72</v>
      </c>
      <c r="R11" s="27">
        <f>(R$6*Inputs!$C$16*12)/$B11</f>
        <v>0.76800000000000002</v>
      </c>
      <c r="S11" s="27">
        <f>(S$6*Inputs!$C$16*12)/$B11</f>
        <v>0.81599999999999995</v>
      </c>
      <c r="T11" s="27">
        <f>(T$6*Inputs!$C$16*12)/$B11</f>
        <v>0.86399999999999999</v>
      </c>
      <c r="U11" s="27">
        <f>(U$6*Inputs!$C$16*12)/$B11</f>
        <v>0.91200000000000003</v>
      </c>
      <c r="V11" s="28">
        <f>(V$6*Inputs!$C$16*12)/$B11</f>
        <v>0.96</v>
      </c>
    </row>
    <row r="12" spans="1:22" x14ac:dyDescent="0.35">
      <c r="A12" s="102"/>
      <c r="B12" s="26">
        <f>B7*6</f>
        <v>600000000</v>
      </c>
      <c r="C12" s="27">
        <f>(C$6*Inputs!$C$16*12)/$B12</f>
        <v>0.04</v>
      </c>
      <c r="D12" s="27">
        <f>(D$6*Inputs!$C$16*12)/$B12</f>
        <v>0.08</v>
      </c>
      <c r="E12" s="27">
        <f>(E$6*Inputs!$C$16*12)/$B12</f>
        <v>0.12</v>
      </c>
      <c r="F12" s="27">
        <f>(F$6*Inputs!$C$16*12)/$B12</f>
        <v>0.16</v>
      </c>
      <c r="G12" s="27">
        <f>(G$6*Inputs!$C$16*12)/$B12</f>
        <v>0.2</v>
      </c>
      <c r="H12" s="27">
        <f>(H$6*Inputs!$C$16*12)/$B12</f>
        <v>0.24</v>
      </c>
      <c r="I12" s="27">
        <f>(I$6*Inputs!$C$16*12)/$B12</f>
        <v>0.28000000000000003</v>
      </c>
      <c r="J12" s="27">
        <f>(J$6*Inputs!$C$16*12)/$B12</f>
        <v>0.32</v>
      </c>
      <c r="K12" s="27">
        <f>(K$6*Inputs!$C$16*12)/$B12</f>
        <v>0.36</v>
      </c>
      <c r="L12" s="27">
        <f>(L$6*Inputs!$C$16*12)/$B12</f>
        <v>0.4</v>
      </c>
      <c r="M12" s="27">
        <f>(M$6*Inputs!$C$16*12)/$B12</f>
        <v>0.44</v>
      </c>
      <c r="N12" s="27">
        <f>(N$6*Inputs!$C$16*12)/$B12</f>
        <v>0.48</v>
      </c>
      <c r="O12" s="27">
        <f>(O$6*Inputs!$C$16*12)/$B12</f>
        <v>0.52</v>
      </c>
      <c r="P12" s="27">
        <f>(P$6*Inputs!$C$16*12)/$B12</f>
        <v>0.56000000000000005</v>
      </c>
      <c r="Q12" s="27">
        <f>(Q$6*Inputs!$C$16*12)/$B12</f>
        <v>0.6</v>
      </c>
      <c r="R12" s="27">
        <f>(R$6*Inputs!$C$16*12)/$B12</f>
        <v>0.64</v>
      </c>
      <c r="S12" s="27">
        <f>(S$6*Inputs!$C$16*12)/$B12</f>
        <v>0.68</v>
      </c>
      <c r="T12" s="27">
        <f>(T$6*Inputs!$C$16*12)/$B12</f>
        <v>0.72</v>
      </c>
      <c r="U12" s="27">
        <f>(U$6*Inputs!$C$16*12)/$B12</f>
        <v>0.76</v>
      </c>
      <c r="V12" s="28">
        <f>(V$6*Inputs!$C$16*12)/$B12</f>
        <v>0.8</v>
      </c>
    </row>
    <row r="13" spans="1:22" x14ac:dyDescent="0.35">
      <c r="A13" s="102"/>
      <c r="B13" s="26">
        <f>B7*7</f>
        <v>700000000</v>
      </c>
      <c r="C13" s="27">
        <f>(C$6*Inputs!$C$16*12)/$B13</f>
        <v>3.4285714285714287E-2</v>
      </c>
      <c r="D13" s="27">
        <f>(D$6*Inputs!$C$16*12)/$B13</f>
        <v>6.8571428571428575E-2</v>
      </c>
      <c r="E13" s="27">
        <f>(E$6*Inputs!$C$16*12)/$B13</f>
        <v>0.10285714285714286</v>
      </c>
      <c r="F13" s="27">
        <f>(F$6*Inputs!$C$16*12)/$B13</f>
        <v>0.13714285714285715</v>
      </c>
      <c r="G13" s="27">
        <f>(G$6*Inputs!$C$16*12)/$B13</f>
        <v>0.17142857142857143</v>
      </c>
      <c r="H13" s="27">
        <f>(H$6*Inputs!$C$16*12)/$B13</f>
        <v>0.20571428571428571</v>
      </c>
      <c r="I13" s="27">
        <f>(I$6*Inputs!$C$16*12)/$B13</f>
        <v>0.24</v>
      </c>
      <c r="J13" s="27">
        <f>(J$6*Inputs!$C$16*12)/$B13</f>
        <v>0.2742857142857143</v>
      </c>
      <c r="K13" s="27">
        <f>(K$6*Inputs!$C$16*12)/$B13</f>
        <v>0.30857142857142855</v>
      </c>
      <c r="L13" s="27">
        <f>(L$6*Inputs!$C$16*12)/$B13</f>
        <v>0.34285714285714286</v>
      </c>
      <c r="M13" s="27">
        <f>(M$6*Inputs!$C$16*12)/$B13</f>
        <v>0.37714285714285717</v>
      </c>
      <c r="N13" s="27">
        <f>(N$6*Inputs!$C$16*12)/$B13</f>
        <v>0.41142857142857142</v>
      </c>
      <c r="O13" s="27">
        <f>(O$6*Inputs!$C$16*12)/$B13</f>
        <v>0.44571428571428573</v>
      </c>
      <c r="P13" s="27">
        <f>(P$6*Inputs!$C$16*12)/$B13</f>
        <v>0.48</v>
      </c>
      <c r="Q13" s="27">
        <f>(Q$6*Inputs!$C$16*12)/$B13</f>
        <v>0.51428571428571423</v>
      </c>
      <c r="R13" s="27">
        <f>(R$6*Inputs!$C$16*12)/$B13</f>
        <v>0.5485714285714286</v>
      </c>
      <c r="S13" s="27">
        <f>(S$6*Inputs!$C$16*12)/$B13</f>
        <v>0.58285714285714285</v>
      </c>
      <c r="T13" s="27">
        <f>(T$6*Inputs!$C$16*12)/$B13</f>
        <v>0.6171428571428571</v>
      </c>
      <c r="U13" s="27">
        <f>(U$6*Inputs!$C$16*12)/$B13</f>
        <v>0.65142857142857147</v>
      </c>
      <c r="V13" s="28">
        <f>(V$6*Inputs!$C$16*12)/$B13</f>
        <v>0.68571428571428572</v>
      </c>
    </row>
    <row r="14" spans="1:22" x14ac:dyDescent="0.35">
      <c r="A14" s="102"/>
      <c r="B14" s="26">
        <f>B7*8</f>
        <v>800000000</v>
      </c>
      <c r="C14" s="27">
        <f>(C$6*Inputs!$C$16*12)/$B14</f>
        <v>0.03</v>
      </c>
      <c r="D14" s="27">
        <f>(D$6*Inputs!$C$16*12)/$B14</f>
        <v>0.06</v>
      </c>
      <c r="E14" s="27">
        <f>(E$6*Inputs!$C$16*12)/$B14</f>
        <v>0.09</v>
      </c>
      <c r="F14" s="27">
        <f>(F$6*Inputs!$C$16*12)/$B14</f>
        <v>0.12</v>
      </c>
      <c r="G14" s="27">
        <f>(G$6*Inputs!$C$16*12)/$B14</f>
        <v>0.15</v>
      </c>
      <c r="H14" s="27">
        <f>(H$6*Inputs!$C$16*12)/$B14</f>
        <v>0.18</v>
      </c>
      <c r="I14" s="27">
        <f>(I$6*Inputs!$C$16*12)/$B14</f>
        <v>0.21</v>
      </c>
      <c r="J14" s="27">
        <f>(J$6*Inputs!$C$16*12)/$B14</f>
        <v>0.24</v>
      </c>
      <c r="K14" s="27">
        <f>(K$6*Inputs!$C$16*12)/$B14</f>
        <v>0.27</v>
      </c>
      <c r="L14" s="27">
        <f>(L$6*Inputs!$C$16*12)/$B14</f>
        <v>0.3</v>
      </c>
      <c r="M14" s="27">
        <f>(M$6*Inputs!$C$16*12)/$B14</f>
        <v>0.33</v>
      </c>
      <c r="N14" s="27">
        <f>(N$6*Inputs!$C$16*12)/$B14</f>
        <v>0.36</v>
      </c>
      <c r="O14" s="27">
        <f>(O$6*Inputs!$C$16*12)/$B14</f>
        <v>0.39</v>
      </c>
      <c r="P14" s="27">
        <f>(P$6*Inputs!$C$16*12)/$B14</f>
        <v>0.42</v>
      </c>
      <c r="Q14" s="27">
        <f>(Q$6*Inputs!$C$16*12)/$B14</f>
        <v>0.45</v>
      </c>
      <c r="R14" s="27">
        <f>(R$6*Inputs!$C$16*12)/$B14</f>
        <v>0.48</v>
      </c>
      <c r="S14" s="27">
        <f>(S$6*Inputs!$C$16*12)/$B14</f>
        <v>0.51</v>
      </c>
      <c r="T14" s="27">
        <f>(T$6*Inputs!$C$16*12)/$B14</f>
        <v>0.54</v>
      </c>
      <c r="U14" s="27">
        <f>(U$6*Inputs!$C$16*12)/$B14</f>
        <v>0.56999999999999995</v>
      </c>
      <c r="V14" s="28">
        <f>(V$6*Inputs!$C$16*12)/$B14</f>
        <v>0.6</v>
      </c>
    </row>
    <row r="15" spans="1:22" x14ac:dyDescent="0.35">
      <c r="A15" s="102"/>
      <c r="B15" s="26">
        <f>B7*9</f>
        <v>900000000</v>
      </c>
      <c r="C15" s="27">
        <f>(C$6*Inputs!$C$16*12)/$B15</f>
        <v>2.6666666666666668E-2</v>
      </c>
      <c r="D15" s="27">
        <f>(D$6*Inputs!$C$16*12)/$B15</f>
        <v>5.3333333333333337E-2</v>
      </c>
      <c r="E15" s="27">
        <f>(E$6*Inputs!$C$16*12)/$B15</f>
        <v>0.08</v>
      </c>
      <c r="F15" s="27">
        <f>(F$6*Inputs!$C$16*12)/$B15</f>
        <v>0.10666666666666667</v>
      </c>
      <c r="G15" s="27">
        <f>(G$6*Inputs!$C$16*12)/$B15</f>
        <v>0.13333333333333333</v>
      </c>
      <c r="H15" s="27">
        <f>(H$6*Inputs!$C$16*12)/$B15</f>
        <v>0.16</v>
      </c>
      <c r="I15" s="27">
        <f>(I$6*Inputs!$C$16*12)/$B15</f>
        <v>0.18666666666666668</v>
      </c>
      <c r="J15" s="27">
        <f>(J$6*Inputs!$C$16*12)/$B15</f>
        <v>0.21333333333333335</v>
      </c>
      <c r="K15" s="27">
        <f>(K$6*Inputs!$C$16*12)/$B15</f>
        <v>0.24</v>
      </c>
      <c r="L15" s="27">
        <f>(L$6*Inputs!$C$16*12)/$B15</f>
        <v>0.26666666666666666</v>
      </c>
      <c r="M15" s="27">
        <f>(M$6*Inputs!$C$16*12)/$B15</f>
        <v>0.29333333333333333</v>
      </c>
      <c r="N15" s="27">
        <f>(N$6*Inputs!$C$16*12)/$B15</f>
        <v>0.32</v>
      </c>
      <c r="O15" s="27">
        <f>(O$6*Inputs!$C$16*12)/$B15</f>
        <v>0.34666666666666668</v>
      </c>
      <c r="P15" s="27">
        <f>(P$6*Inputs!$C$16*12)/$B15</f>
        <v>0.37333333333333335</v>
      </c>
      <c r="Q15" s="27">
        <f>(Q$6*Inputs!$C$16*12)/$B15</f>
        <v>0.4</v>
      </c>
      <c r="R15" s="27">
        <f>(R$6*Inputs!$C$16*12)/$B15</f>
        <v>0.42666666666666669</v>
      </c>
      <c r="S15" s="27">
        <f>(S$6*Inputs!$C$16*12)/$B15</f>
        <v>0.45333333333333331</v>
      </c>
      <c r="T15" s="27">
        <f>(T$6*Inputs!$C$16*12)/$B15</f>
        <v>0.48</v>
      </c>
      <c r="U15" s="27">
        <f>(U$6*Inputs!$C$16*12)/$B15</f>
        <v>0.50666666666666671</v>
      </c>
      <c r="V15" s="28">
        <f>(V$6*Inputs!$C$16*12)/$B15</f>
        <v>0.53333333333333333</v>
      </c>
    </row>
    <row r="16" spans="1:22" ht="15" thickBot="1" x14ac:dyDescent="0.4">
      <c r="A16" s="103"/>
      <c r="B16" s="29">
        <f>B7*10</f>
        <v>1000000000</v>
      </c>
      <c r="C16" s="30">
        <f>(C$6*Inputs!$C$16*12)/$B16</f>
        <v>2.4E-2</v>
      </c>
      <c r="D16" s="30">
        <f>(D$6*Inputs!$C$16*12)/$B16</f>
        <v>4.8000000000000001E-2</v>
      </c>
      <c r="E16" s="30">
        <f>(E$6*Inputs!$C$16*12)/$B16</f>
        <v>7.1999999999999995E-2</v>
      </c>
      <c r="F16" s="30">
        <f>(F$6*Inputs!$C$16*12)/$B16</f>
        <v>9.6000000000000002E-2</v>
      </c>
      <c r="G16" s="30">
        <f>(G$6*Inputs!$C$16*12)/$B16</f>
        <v>0.12</v>
      </c>
      <c r="H16" s="30">
        <f>(H$6*Inputs!$C$16*12)/$B16</f>
        <v>0.14399999999999999</v>
      </c>
      <c r="I16" s="30">
        <f>(I$6*Inputs!$C$16*12)/$B16</f>
        <v>0.16800000000000001</v>
      </c>
      <c r="J16" s="30">
        <f>(J$6*Inputs!$C$16*12)/$B16</f>
        <v>0.192</v>
      </c>
      <c r="K16" s="30">
        <f>(K$6*Inputs!$C$16*12)/$B16</f>
        <v>0.216</v>
      </c>
      <c r="L16" s="30">
        <f>(L$6*Inputs!$C$16*12)/$B16</f>
        <v>0.24</v>
      </c>
      <c r="M16" s="30">
        <f>(M$6*Inputs!$C$16*12)/$B16</f>
        <v>0.26400000000000001</v>
      </c>
      <c r="N16" s="30">
        <f>(N$6*Inputs!$C$16*12)/$B16</f>
        <v>0.28799999999999998</v>
      </c>
      <c r="O16" s="30">
        <f>(O$6*Inputs!$C$16*12)/$B16</f>
        <v>0.312</v>
      </c>
      <c r="P16" s="30">
        <f>(P$6*Inputs!$C$16*12)/$B16</f>
        <v>0.33600000000000002</v>
      </c>
      <c r="Q16" s="30">
        <f>(Q$6*Inputs!$C$16*12)/$B16</f>
        <v>0.36</v>
      </c>
      <c r="R16" s="30">
        <f>(R$6*Inputs!$C$16*12)/$B16</f>
        <v>0.38400000000000001</v>
      </c>
      <c r="S16" s="30">
        <f>(S$6*Inputs!$C$16*12)/$B16</f>
        <v>0.40799999999999997</v>
      </c>
      <c r="T16" s="30">
        <f>(T$6*Inputs!$C$16*12)/$B16</f>
        <v>0.432</v>
      </c>
      <c r="U16" s="30">
        <f>(U$6*Inputs!$C$16*12)/$B16</f>
        <v>0.45600000000000002</v>
      </c>
      <c r="V16" s="31">
        <f>(V$6*Inputs!$C$16*12)/$B16</f>
        <v>0.48</v>
      </c>
    </row>
    <row r="17" spans="3:9" x14ac:dyDescent="0.35">
      <c r="C17" s="115"/>
    </row>
    <row r="24" spans="3:9" x14ac:dyDescent="0.35">
      <c r="I24" s="116"/>
    </row>
    <row r="25" spans="3:9" x14ac:dyDescent="0.35">
      <c r="I25" s="117"/>
    </row>
  </sheetData>
  <mergeCells count="2">
    <mergeCell ref="A7:A16"/>
    <mergeCell ref="C5:V5"/>
  </mergeCells>
  <conditionalFormatting sqref="C7:V16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Inputs</vt:lpstr>
      <vt:lpstr>Supply Schedule Chart</vt:lpstr>
      <vt:lpstr>Forecast</vt:lpstr>
      <vt:lpstr>Yield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 demarco</dc:creator>
  <cp:lastModifiedBy>mj demarco</cp:lastModifiedBy>
  <dcterms:created xsi:type="dcterms:W3CDTF">2020-08-24T16:17:35Z</dcterms:created>
  <dcterms:modified xsi:type="dcterms:W3CDTF">2020-09-24T22:05:08Z</dcterms:modified>
</cp:coreProperties>
</file>